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indoorcc-my.sharepoint.com/personal/heiko_hanke_purmogroup_com/Documents/Hanke/Technikordner/Hanke/Technikordner_HHA/ULOW E/Leistung/"/>
    </mc:Choice>
  </mc:AlternateContent>
  <xr:revisionPtr revIDLastSave="67" documentId="13_ncr:1_{EE79CC76-65A3-42C6-8D9D-F4C59A64011D}" xr6:coauthVersionLast="47" xr6:coauthVersionMax="47" xr10:uidLastSave="{389597B9-E732-40C6-BC71-78BA4A3C6419}"/>
  <workbookProtection workbookAlgorithmName="SHA-512" workbookHashValue="vhI8dD/a5aI7sM9F/uR8lSk2A8WeXYHFpoY3EArCUd0jmE7zB4vR6b1yb3pooxjnBpStmYGlqA0cWj3SUzkFKQ==" workbookSaltValue="4Ynu4FV3oAu3mCyNuudRTg==" workbookSpinCount="100000" lockStructure="1"/>
  <bookViews>
    <workbookView xWindow="28680" yWindow="-1035" windowWidth="29040" windowHeight="15840" tabRatio="818" xr2:uid="{00000000-000D-0000-FFFF-FFFF00000000}"/>
  </bookViews>
  <sheets>
    <sheet name="ULOW E PURMO_Radson Heating" sheetId="71" r:id="rId1"/>
    <sheet name="ULOW E PURA Heating 30-60 K" sheetId="60" state="hidden" r:id="rId2"/>
    <sheet name="ULOW E PURA Heating 10-&lt;30 K" sheetId="59" state="hidden" r:id="rId3"/>
    <sheet name="Logbook" sheetId="64" state="hidden" r:id="rId4"/>
    <sheet name="Modul1" sheetId="18" state="very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71" l="1"/>
  <c r="L18" i="71"/>
  <c r="J19" i="60"/>
  <c r="J20" i="60"/>
  <c r="J21" i="60"/>
  <c r="J22" i="60"/>
  <c r="J23" i="60"/>
  <c r="J18" i="60"/>
  <c r="J18" i="59"/>
  <c r="J19" i="59" l="1"/>
  <c r="J22" i="59"/>
  <c r="J23" i="59"/>
  <c r="J20" i="59"/>
  <c r="J21" i="59"/>
  <c r="G7" i="71"/>
  <c r="B39" i="71" s="1"/>
  <c r="M7" i="60"/>
  <c r="M6" i="60" s="1"/>
  <c r="M5" i="60" s="1"/>
  <c r="Q6" i="60" s="1"/>
  <c r="M6" i="59"/>
  <c r="M5" i="59" s="1"/>
  <c r="M7" i="59"/>
  <c r="O15" i="71"/>
  <c r="J15" i="71"/>
  <c r="J18" i="71" s="1"/>
  <c r="E15" i="71"/>
  <c r="B3" i="71" l="1"/>
  <c r="B22" i="71" s="1"/>
  <c r="Q6" i="59"/>
  <c r="R6" i="59" s="1"/>
  <c r="K15" i="71"/>
  <c r="K18" i="71" s="1"/>
  <c r="F15" i="71"/>
  <c r="F18" i="71" s="1"/>
  <c r="S6" i="59"/>
  <c r="P15" i="71"/>
  <c r="D11" i="60"/>
  <c r="C7" i="60" s="1"/>
  <c r="I16" i="60"/>
  <c r="F11" i="60"/>
  <c r="E7" i="60"/>
  <c r="E7" i="59"/>
  <c r="D11" i="59"/>
  <c r="J7" i="59"/>
  <c r="AC19" i="59"/>
  <c r="AC13" i="59"/>
  <c r="I16" i="59"/>
  <c r="F11" i="59"/>
  <c r="AC7" i="59"/>
  <c r="E11" i="59" l="1"/>
  <c r="C7" i="59"/>
  <c r="H7" i="59" s="1"/>
  <c r="I7" i="59" s="1"/>
  <c r="D7" i="60"/>
  <c r="H16" i="60"/>
  <c r="E11" i="60"/>
  <c r="U6" i="59"/>
  <c r="H16" i="59" l="1"/>
  <c r="D7" i="59"/>
  <c r="G11" i="60"/>
  <c r="AD19" i="59"/>
  <c r="AD13" i="59"/>
  <c r="AD7" i="59"/>
  <c r="T6" i="59" l="1"/>
  <c r="H19" i="60"/>
  <c r="I19" i="60" s="1"/>
  <c r="H18" i="60"/>
  <c r="I18" i="60" s="1"/>
  <c r="H21" i="60"/>
  <c r="I21" i="60" s="1"/>
  <c r="H20" i="60"/>
  <c r="I20" i="60" s="1"/>
  <c r="H23" i="60"/>
  <c r="I23" i="60" s="1"/>
  <c r="H22" i="60"/>
  <c r="I22" i="60" s="1"/>
  <c r="AB14" i="59" l="1"/>
  <c r="AB13" i="59" s="1"/>
  <c r="AB20" i="59"/>
  <c r="AB19" i="59" s="1"/>
  <c r="AA8" i="59"/>
  <c r="AA7" i="59" s="1"/>
  <c r="AA14" i="59"/>
  <c r="AA13" i="59" s="1"/>
  <c r="AB8" i="59"/>
  <c r="AB7" i="59" s="1"/>
  <c r="AA20" i="59"/>
  <c r="AA19" i="59" s="1"/>
  <c r="G11" i="59"/>
  <c r="H18" i="59" l="1"/>
  <c r="I18" i="59" s="1"/>
  <c r="H23" i="59"/>
  <c r="I23" i="59" s="1"/>
  <c r="H22" i="59"/>
  <c r="I22" i="59" s="1"/>
  <c r="H21" i="59"/>
  <c r="I21" i="59" s="1"/>
  <c r="H20" i="59"/>
  <c r="I20" i="59" s="1"/>
  <c r="H19" i="59"/>
  <c r="I19" i="59" s="1"/>
  <c r="R6" i="60" l="1"/>
  <c r="S6" i="60"/>
  <c r="U6" i="60" l="1"/>
  <c r="T6" i="60"/>
  <c r="AA8" i="60" l="1"/>
  <c r="C16" i="71" s="1"/>
  <c r="C37" i="71" s="1"/>
  <c r="AC19" i="60"/>
  <c r="AB14" i="60"/>
  <c r="I16" i="71" s="1"/>
  <c r="F37" i="71" s="1"/>
  <c r="AA20" i="60"/>
  <c r="M16" i="71" s="1"/>
  <c r="G37" i="71" s="1"/>
  <c r="AB8" i="60"/>
  <c r="D16" i="71" s="1"/>
  <c r="D37" i="71" s="1"/>
  <c r="AA14" i="60"/>
  <c r="H16" i="71" s="1"/>
  <c r="E37" i="71" s="1"/>
  <c r="AB20" i="60"/>
  <c r="N16" i="71" s="1"/>
  <c r="H37" i="71" s="1"/>
  <c r="AC7" i="60"/>
  <c r="AC13" i="60"/>
  <c r="AD19" i="60"/>
  <c r="AD13" i="60"/>
  <c r="AD7" i="60"/>
  <c r="AB7" i="60" l="1"/>
  <c r="D15" i="71" s="1"/>
  <c r="D18" i="71" s="1"/>
  <c r="AA7" i="60"/>
  <c r="AA13" i="60"/>
  <c r="H15" i="71" s="1"/>
  <c r="H18" i="71" s="1"/>
  <c r="AB19" i="60"/>
  <c r="N15" i="71" s="1"/>
  <c r="AA19" i="60"/>
  <c r="M15" i="71" s="1"/>
  <c r="M18" i="71" s="1"/>
  <c r="AB13" i="60"/>
  <c r="I15" i="71" s="1"/>
  <c r="I18" i="71" l="1"/>
  <c r="F28" i="71"/>
  <c r="H31" i="71"/>
  <c r="H29" i="71"/>
  <c r="H30" i="71"/>
  <c r="H32" i="71"/>
  <c r="H33" i="71"/>
  <c r="H34" i="71"/>
  <c r="H35" i="71"/>
  <c r="H36" i="71"/>
  <c r="H28" i="71"/>
  <c r="C15" i="71"/>
  <c r="C18" i="71" s="1"/>
  <c r="N18" i="71"/>
  <c r="F35" i="71"/>
  <c r="F32" i="71"/>
  <c r="F33" i="71"/>
  <c r="F34" i="71"/>
  <c r="F36" i="71"/>
  <c r="F29" i="71"/>
  <c r="F30" i="71"/>
  <c r="F31" i="71"/>
  <c r="G29" i="71"/>
  <c r="G28" i="71"/>
  <c r="G30" i="71"/>
  <c r="G31" i="71"/>
  <c r="G32" i="71"/>
  <c r="G33" i="71"/>
  <c r="G34" i="71"/>
  <c r="G35" i="71"/>
  <c r="G36" i="71"/>
  <c r="E35" i="71"/>
  <c r="E36" i="71"/>
  <c r="E29" i="71"/>
  <c r="E30" i="71"/>
  <c r="E33" i="71"/>
  <c r="E34" i="71"/>
  <c r="E31" i="71"/>
  <c r="E32" i="71"/>
  <c r="E28" i="71"/>
  <c r="D32" i="71"/>
  <c r="D34" i="71"/>
  <c r="D33" i="71"/>
  <c r="D31" i="71"/>
  <c r="D35" i="71"/>
  <c r="D36" i="71"/>
  <c r="D29" i="71"/>
  <c r="D28" i="71"/>
  <c r="D30" i="71"/>
  <c r="C33" i="71" l="1"/>
  <c r="C34" i="71"/>
  <c r="C35" i="71"/>
  <c r="C32" i="71"/>
  <c r="C36" i="71"/>
  <c r="C29" i="71"/>
  <c r="C31" i="71"/>
  <c r="C28" i="71"/>
  <c r="C30" i="7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KOGLER Joachim</author>
  </authors>
  <commentList>
    <comment ref="F15" authorId="0" shapeId="0" xr:uid="{4997BF69-A597-41EC-A8D6-C97995EC34EA}">
      <text>
        <r>
          <rPr>
            <sz val="8"/>
            <color indexed="81"/>
            <rFont val="Tahoma"/>
            <family val="2"/>
          </rPr>
          <t xml:space="preserve">Werte von Prüfbericht Nr.
B08 111.2187 
</t>
        </r>
      </text>
    </comment>
    <comment ref="G15" authorId="0" shapeId="0" xr:uid="{4AB1BBBA-0CDE-49D1-8BB6-6A1DF65B82FE}">
      <text>
        <r>
          <rPr>
            <sz val="8"/>
            <color indexed="81"/>
            <rFont val="Tahoma"/>
            <family val="2"/>
          </rPr>
          <t>Werte von Prüfbericht Nr.
B08 111.2187</t>
        </r>
      </text>
    </comment>
    <comment ref="J15" authorId="0" shapeId="0" xr:uid="{C0C87790-D1BD-4A73-A98C-A7A44260A583}">
      <text>
        <r>
          <rPr>
            <sz val="8"/>
            <color indexed="81"/>
            <rFont val="Tahoma"/>
            <family val="2"/>
          </rPr>
          <t>Werte von Prüfbericht Nr.
B08 111.2187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KOGLER Joachim</author>
  </authors>
  <commentList>
    <comment ref="F15" authorId="0" shapeId="0" xr:uid="{543A82B9-8E86-415E-A2FF-66DC43446546}">
      <text>
        <r>
          <rPr>
            <sz val="8"/>
            <color indexed="81"/>
            <rFont val="Tahoma"/>
            <family val="2"/>
          </rPr>
          <t xml:space="preserve">Werte von Prüfbericht Nr.
B08 111.2187 
</t>
        </r>
      </text>
    </comment>
    <comment ref="G15" authorId="0" shapeId="0" xr:uid="{05938F9C-79C2-499F-8D79-BBDB26ADB651}">
      <text>
        <r>
          <rPr>
            <sz val="8"/>
            <color indexed="81"/>
            <rFont val="Tahoma"/>
            <family val="2"/>
          </rPr>
          <t>Werte von Prüfbericht Nr.
B08 111.2187</t>
        </r>
      </text>
    </comment>
    <comment ref="J15" authorId="0" shapeId="0" xr:uid="{103AFBC5-A9B2-41F7-818F-ECF6D8967CCF}">
      <text>
        <r>
          <rPr>
            <sz val="8"/>
            <color indexed="81"/>
            <rFont val="Tahoma"/>
            <family val="2"/>
          </rPr>
          <t>Werte von Prüfbericht Nr.
B08 111.2187</t>
        </r>
      </text>
    </comment>
  </commentList>
</comments>
</file>

<file path=xl/sharedStrings.xml><?xml version="1.0" encoding="utf-8"?>
<sst xmlns="http://schemas.openxmlformats.org/spreadsheetml/2006/main" count="245" uniqueCount="64">
  <si>
    <t>Figures with grille kit components</t>
  </si>
  <si>
    <t>Type</t>
  </si>
  <si>
    <t>Height in mm</t>
  </si>
  <si>
    <t>Input of flow-, return- and air-temperature in [°C]</t>
  </si>
  <si>
    <t>Fan speed</t>
  </si>
  <si>
    <t>0 V</t>
  </si>
  <si>
    <t>8V</t>
  </si>
  <si>
    <t>Flow temperature [°C]</t>
  </si>
  <si>
    <t>Lenght in mm</t>
  </si>
  <si>
    <t>W</t>
  </si>
  <si>
    <t>Return temperature [°C]</t>
  </si>
  <si>
    <t>Air temperature [°C]</t>
  </si>
  <si>
    <t>Height [mm]</t>
  </si>
  <si>
    <t>Operating mode</t>
  </si>
  <si>
    <t>Parameters</t>
  </si>
  <si>
    <t>Calc.</t>
  </si>
  <si>
    <t>8 V</t>
  </si>
  <si>
    <t>Length [mm]</t>
  </si>
  <si>
    <t>°C</t>
  </si>
  <si>
    <t>Exponent</t>
  </si>
  <si>
    <t>n</t>
  </si>
  <si>
    <t>Normkennlinie</t>
  </si>
  <si>
    <t>10 K</t>
  </si>
  <si>
    <t>20 K</t>
  </si>
  <si>
    <t>DT</t>
  </si>
  <si>
    <t>PHI</t>
  </si>
  <si>
    <t>K</t>
  </si>
  <si>
    <t>PF 40 mm ULOW E PURMO / Radson angelehnt an die En 442</t>
  </si>
  <si>
    <t>To change the tabel on the left hand side</t>
  </si>
  <si>
    <t>Thermal heat output of ULOW E PURMO / Radson according to EN 442 (Standby) and EN 16430 (30K - 60K)</t>
  </si>
  <si>
    <t>Die Umrechnung auf andere Temperaturpaarungen abweichend von 75/65/20 erfolgt arithmetisch.</t>
  </si>
  <si>
    <t>Input of flow-, return- and airtemperature in [°C]</t>
  </si>
  <si>
    <t>Wenn die Bedingung c=(Tr-Tl)/(Tv-Tl) &lt; 0.7 ist, wird die Übertemperatur logarithmisch bestimmt.</t>
  </si>
  <si>
    <t>These values effects row 7, row 16 and row 25</t>
  </si>
  <si>
    <r>
      <t>Delta T</t>
    </r>
    <r>
      <rPr>
        <vertAlign val="subscript"/>
        <sz val="10"/>
        <rFont val="Arial"/>
        <family val="2"/>
      </rPr>
      <t>ar</t>
    </r>
  </si>
  <si>
    <r>
      <t>Delta T</t>
    </r>
    <r>
      <rPr>
        <vertAlign val="subscript"/>
        <sz val="10"/>
        <rFont val="Arial"/>
        <family val="2"/>
      </rPr>
      <t>ln</t>
    </r>
  </si>
  <si>
    <t>c</t>
  </si>
  <si>
    <t xml:space="preserve">Quot. dT </t>
  </si>
  <si>
    <t>0V</t>
  </si>
  <si>
    <t>&gt;&gt;&gt;</t>
  </si>
  <si>
    <t xml:space="preserve">Delta T ar </t>
  </si>
  <si>
    <t>Delta T ln</t>
  </si>
  <si>
    <t>Eingabe der gewünschten Vorlauf-, Rücklauf- und Lufttemperaturen in die Zellen A10, A11 und A12</t>
  </si>
  <si>
    <t>flow temperature [°C]</t>
  </si>
  <si>
    <t>Delta T ar</t>
  </si>
  <si>
    <t xml:space="preserve">Quot. Delta T </t>
  </si>
  <si>
    <t>return temperature [°C]</t>
  </si>
  <si>
    <t>air temperature [°C]</t>
  </si>
  <si>
    <t>HLK</t>
  </si>
  <si>
    <t>Height</t>
  </si>
  <si>
    <t>Length</t>
  </si>
  <si>
    <t>Fan Voltage</t>
  </si>
  <si>
    <t>THOP</t>
  </si>
  <si>
    <t>Korr.-Faktor</t>
  </si>
  <si>
    <t>50K</t>
  </si>
  <si>
    <t>30K</t>
  </si>
  <si>
    <t>mm</t>
  </si>
  <si>
    <t>V</t>
  </si>
  <si>
    <t>[Watt]</t>
  </si>
  <si>
    <t>Thermal heat output of ULOW E PURMO / Radson aligned to EN 16430 (10K - 30K)</t>
  </si>
  <si>
    <t>20K</t>
  </si>
  <si>
    <t>10K</t>
  </si>
  <si>
    <t>adapting dokument for ULOW E PURMO / Radson</t>
  </si>
  <si>
    <t>RSC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</si>
</sst>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u/>
      <sz val="10"/>
      <color indexed="10"/>
      <name val="Arial"/>
      <family val="2"/>
    </font>
    <font>
      <b/>
      <i/>
      <u/>
      <sz val="16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b/>
      <i/>
      <u/>
      <sz val="14"/>
      <name val="Arial"/>
      <family val="2"/>
    </font>
    <font>
      <vertAlign val="subscript"/>
      <sz val="10"/>
      <name val="Arial"/>
      <family val="2"/>
    </font>
    <font>
      <sz val="8"/>
      <name val="Arial"/>
      <family val="2"/>
    </font>
    <font>
      <b/>
      <i/>
      <u/>
      <sz val="12"/>
      <name val="Arial"/>
      <family val="2"/>
    </font>
    <font>
      <b/>
      <i/>
      <u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2" fontId="3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locked="0" hidden="1"/>
    </xf>
    <xf numFmtId="164" fontId="0" fillId="0" borderId="0" xfId="0" applyNumberFormat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0" fillId="4" borderId="0" xfId="0" applyFill="1" applyAlignment="1" applyProtection="1">
      <alignment horizontal="center"/>
      <protection hidden="1"/>
    </xf>
    <xf numFmtId="164" fontId="0" fillId="4" borderId="0" xfId="0" applyNumberFormat="1" applyFill="1" applyAlignment="1" applyProtection="1">
      <alignment horizontal="center"/>
      <protection hidden="1"/>
    </xf>
    <xf numFmtId="1" fontId="0" fillId="4" borderId="0" xfId="0" applyNumberFormat="1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4" fillId="6" borderId="1" xfId="0" applyFont="1" applyFill="1" applyBorder="1" applyAlignment="1" applyProtection="1">
      <alignment horizontal="center"/>
      <protection locked="0" hidden="1"/>
    </xf>
    <xf numFmtId="2" fontId="4" fillId="0" borderId="0" xfId="0" applyNumberFormat="1" applyFont="1" applyProtection="1">
      <protection hidden="1"/>
    </xf>
    <xf numFmtId="0" fontId="4" fillId="5" borderId="0" xfId="0" applyFont="1" applyFill="1" applyAlignment="1" applyProtection="1">
      <alignment horizontal="center"/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1" fontId="3" fillId="3" borderId="0" xfId="0" applyNumberFormat="1" applyFont="1" applyFill="1" applyAlignment="1" applyProtection="1">
      <alignment horizontal="center"/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4" fillId="6" borderId="1" xfId="0" applyFont="1" applyFill="1" applyBorder="1" applyAlignment="1" applyProtection="1">
      <alignment horizontal="center"/>
      <protection hidden="1"/>
    </xf>
    <xf numFmtId="164" fontId="0" fillId="6" borderId="1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locked="0" hidden="1"/>
    </xf>
    <xf numFmtId="14" fontId="0" fillId="0" borderId="0" xfId="0" applyNumberFormat="1"/>
    <xf numFmtId="2" fontId="11" fillId="0" borderId="0" xfId="0" applyNumberFormat="1" applyFont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center"/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1" fontId="4" fillId="4" borderId="0" xfId="0" applyNumberFormat="1" applyFont="1" applyFill="1" applyAlignment="1" applyProtection="1">
      <alignment horizontal="center"/>
      <protection hidden="1"/>
    </xf>
    <xf numFmtId="2" fontId="4" fillId="5" borderId="0" xfId="0" applyNumberFormat="1" applyFont="1" applyFill="1" applyAlignment="1" applyProtection="1">
      <alignment horizontal="center"/>
      <protection hidden="1"/>
    </xf>
    <xf numFmtId="1" fontId="15" fillId="4" borderId="0" xfId="0" applyNumberFormat="1" applyFont="1" applyFill="1" applyAlignment="1" applyProtection="1">
      <alignment horizontal="center"/>
      <protection hidden="1"/>
    </xf>
    <xf numFmtId="164" fontId="15" fillId="4" borderId="0" xfId="0" applyNumberFormat="1" applyFont="1" applyFill="1" applyAlignment="1" applyProtection="1">
      <alignment horizontal="center"/>
      <protection hidden="1"/>
    </xf>
    <xf numFmtId="0" fontId="15" fillId="4" borderId="0" xfId="0" applyFont="1" applyFill="1" applyAlignment="1" applyProtection="1">
      <alignment horizontal="center"/>
      <protection hidden="1"/>
    </xf>
    <xf numFmtId="0" fontId="15" fillId="5" borderId="0" xfId="0" applyFont="1" applyFill="1" applyAlignment="1" applyProtection="1">
      <alignment horizontal="center"/>
      <protection hidden="1"/>
    </xf>
    <xf numFmtId="164" fontId="15" fillId="5" borderId="0" xfId="0" applyNumberFormat="1" applyFont="1" applyFill="1" applyAlignment="1" applyProtection="1">
      <alignment horizontal="center"/>
      <protection hidden="1"/>
    </xf>
    <xf numFmtId="1" fontId="15" fillId="5" borderId="0" xfId="0" applyNumberFormat="1" applyFont="1" applyFill="1" applyAlignment="1" applyProtection="1">
      <alignment horizontal="center"/>
      <protection hidden="1"/>
    </xf>
    <xf numFmtId="0" fontId="0" fillId="7" borderId="0" xfId="0" applyFill="1" applyProtection="1">
      <protection hidden="1"/>
    </xf>
    <xf numFmtId="0" fontId="9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4" fillId="0" borderId="0" xfId="0" quotePrefix="1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1" fontId="3" fillId="0" borderId="0" xfId="0" applyNumberFormat="1" applyFont="1" applyProtection="1">
      <protection hidden="1"/>
    </xf>
    <xf numFmtId="2" fontId="4" fillId="0" borderId="17" xfId="0" applyNumberFormat="1" applyFont="1" applyBorder="1" applyAlignment="1" applyProtection="1">
      <alignment horizontal="center"/>
      <protection hidden="1"/>
    </xf>
    <xf numFmtId="1" fontId="4" fillId="8" borderId="19" xfId="0" applyNumberFormat="1" applyFont="1" applyFill="1" applyBorder="1" applyAlignment="1" applyProtection="1">
      <alignment horizontal="center"/>
      <protection hidden="1"/>
    </xf>
    <xf numFmtId="1" fontId="4" fillId="8" borderId="18" xfId="0" applyNumberFormat="1" applyFont="1" applyFill="1" applyBorder="1" applyAlignment="1" applyProtection="1">
      <alignment horizontal="center"/>
      <protection hidden="1"/>
    </xf>
    <xf numFmtId="2" fontId="4" fillId="8" borderId="20" xfId="0" applyNumberFormat="1" applyFont="1" applyFill="1" applyBorder="1" applyAlignment="1" applyProtection="1">
      <alignment horizontal="center"/>
      <protection hidden="1"/>
    </xf>
    <xf numFmtId="0" fontId="4" fillId="9" borderId="6" xfId="0" applyFont="1" applyFill="1" applyBorder="1" applyAlignment="1" applyProtection="1">
      <alignment horizontal="center"/>
      <protection hidden="1"/>
    </xf>
    <xf numFmtId="0" fontId="4" fillId="10" borderId="6" xfId="0" applyFont="1" applyFill="1" applyBorder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4" fillId="11" borderId="1" xfId="0" applyFont="1" applyFill="1" applyBorder="1" applyAlignment="1" applyProtection="1">
      <alignment horizontal="center"/>
      <protection hidden="1"/>
    </xf>
    <xf numFmtId="0" fontId="4" fillId="11" borderId="1" xfId="0" applyFont="1" applyFill="1" applyBorder="1" applyAlignment="1" applyProtection="1">
      <alignment horizontal="center"/>
      <protection locked="0" hidden="1"/>
    </xf>
    <xf numFmtId="164" fontId="4" fillId="11" borderId="1" xfId="0" applyNumberFormat="1" applyFont="1" applyFill="1" applyBorder="1" applyAlignment="1" applyProtection="1">
      <alignment horizontal="center"/>
      <protection locked="0" hidden="1"/>
    </xf>
    <xf numFmtId="0" fontId="4" fillId="12" borderId="1" xfId="0" applyFont="1" applyFill="1" applyBorder="1" applyAlignment="1" applyProtection="1">
      <alignment horizontal="center"/>
      <protection hidden="1"/>
    </xf>
    <xf numFmtId="0" fontId="4" fillId="12" borderId="1" xfId="0" applyFont="1" applyFill="1" applyBorder="1" applyAlignment="1" applyProtection="1">
      <alignment horizontal="center"/>
      <protection locked="0" hidden="1"/>
    </xf>
    <xf numFmtId="164" fontId="4" fillId="12" borderId="1" xfId="0" applyNumberFormat="1" applyFont="1" applyFill="1" applyBorder="1" applyAlignment="1" applyProtection="1">
      <alignment horizontal="center"/>
      <protection locked="0" hidden="1"/>
    </xf>
    <xf numFmtId="0" fontId="4" fillId="13" borderId="1" xfId="0" applyFont="1" applyFill="1" applyBorder="1" applyAlignment="1" applyProtection="1">
      <alignment horizontal="center"/>
      <protection hidden="1"/>
    </xf>
    <xf numFmtId="0" fontId="4" fillId="13" borderId="1" xfId="0" applyFont="1" applyFill="1" applyBorder="1" applyAlignment="1" applyProtection="1">
      <alignment horizontal="center"/>
      <protection locked="0" hidden="1"/>
    </xf>
    <xf numFmtId="164" fontId="4" fillId="13" borderId="1" xfId="0" applyNumberFormat="1" applyFont="1" applyFill="1" applyBorder="1" applyAlignment="1" applyProtection="1">
      <alignment horizontal="center"/>
      <protection locked="0" hidden="1"/>
    </xf>
    <xf numFmtId="0" fontId="4" fillId="11" borderId="22" xfId="0" applyFont="1" applyFill="1" applyBorder="1" applyAlignment="1" applyProtection="1">
      <alignment horizontal="center"/>
      <protection hidden="1"/>
    </xf>
    <xf numFmtId="0" fontId="4" fillId="11" borderId="23" xfId="0" applyFont="1" applyFill="1" applyBorder="1" applyAlignment="1" applyProtection="1">
      <alignment horizontal="center"/>
      <protection hidden="1"/>
    </xf>
    <xf numFmtId="2" fontId="4" fillId="11" borderId="11" xfId="0" applyNumberFormat="1" applyFont="1" applyFill="1" applyBorder="1" applyAlignment="1" applyProtection="1">
      <alignment horizontal="center"/>
      <protection hidden="1"/>
    </xf>
    <xf numFmtId="2" fontId="4" fillId="11" borderId="12" xfId="0" applyNumberFormat="1" applyFont="1" applyFill="1" applyBorder="1" applyAlignment="1" applyProtection="1">
      <alignment horizontal="center"/>
      <protection hidden="1"/>
    </xf>
    <xf numFmtId="2" fontId="4" fillId="11" borderId="9" xfId="0" applyNumberFormat="1" applyFont="1" applyFill="1" applyBorder="1" applyAlignment="1" applyProtection="1">
      <alignment horizontal="center"/>
      <protection hidden="1"/>
    </xf>
    <xf numFmtId="2" fontId="4" fillId="11" borderId="10" xfId="0" applyNumberFormat="1" applyFont="1" applyFill="1" applyBorder="1" applyAlignment="1" applyProtection="1">
      <alignment horizontal="center"/>
      <protection hidden="1"/>
    </xf>
    <xf numFmtId="164" fontId="4" fillId="11" borderId="13" xfId="0" applyNumberFormat="1" applyFont="1" applyFill="1" applyBorder="1" applyAlignment="1" applyProtection="1">
      <alignment horizontal="center"/>
      <protection hidden="1"/>
    </xf>
    <xf numFmtId="164" fontId="4" fillId="11" borderId="14" xfId="0" applyNumberFormat="1" applyFont="1" applyFill="1" applyBorder="1" applyAlignment="1" applyProtection="1">
      <alignment horizontal="center"/>
      <protection hidden="1"/>
    </xf>
    <xf numFmtId="0" fontId="4" fillId="12" borderId="22" xfId="0" applyFont="1" applyFill="1" applyBorder="1" applyAlignment="1" applyProtection="1">
      <alignment horizontal="center"/>
      <protection hidden="1"/>
    </xf>
    <xf numFmtId="0" fontId="4" fillId="12" borderId="23" xfId="0" applyFont="1" applyFill="1" applyBorder="1" applyAlignment="1" applyProtection="1">
      <alignment horizontal="center"/>
      <protection hidden="1"/>
    </xf>
    <xf numFmtId="2" fontId="4" fillId="12" borderId="11" xfId="0" applyNumberFormat="1" applyFont="1" applyFill="1" applyBorder="1" applyAlignment="1" applyProtection="1">
      <alignment horizontal="center"/>
      <protection hidden="1"/>
    </xf>
    <xf numFmtId="2" fontId="4" fillId="12" borderId="12" xfId="0" applyNumberFormat="1" applyFont="1" applyFill="1" applyBorder="1" applyAlignment="1" applyProtection="1">
      <alignment horizontal="center"/>
      <protection hidden="1"/>
    </xf>
    <xf numFmtId="2" fontId="4" fillId="12" borderId="9" xfId="0" applyNumberFormat="1" applyFont="1" applyFill="1" applyBorder="1" applyAlignment="1" applyProtection="1">
      <alignment horizontal="center"/>
      <protection hidden="1"/>
    </xf>
    <xf numFmtId="2" fontId="4" fillId="12" borderId="10" xfId="0" applyNumberFormat="1" applyFont="1" applyFill="1" applyBorder="1" applyAlignment="1" applyProtection="1">
      <alignment horizontal="center"/>
      <protection hidden="1"/>
    </xf>
    <xf numFmtId="164" fontId="4" fillId="12" borderId="13" xfId="0" applyNumberFormat="1" applyFont="1" applyFill="1" applyBorder="1" applyAlignment="1" applyProtection="1">
      <alignment horizontal="center"/>
      <protection hidden="1"/>
    </xf>
    <xf numFmtId="164" fontId="4" fillId="12" borderId="14" xfId="0" applyNumberFormat="1" applyFont="1" applyFill="1" applyBorder="1" applyAlignment="1" applyProtection="1">
      <alignment horizontal="center"/>
      <protection hidden="1"/>
    </xf>
    <xf numFmtId="0" fontId="4" fillId="13" borderId="22" xfId="0" applyFont="1" applyFill="1" applyBorder="1" applyAlignment="1" applyProtection="1">
      <alignment horizontal="center"/>
      <protection hidden="1"/>
    </xf>
    <xf numFmtId="0" fontId="4" fillId="13" borderId="23" xfId="0" applyFont="1" applyFill="1" applyBorder="1" applyAlignment="1" applyProtection="1">
      <alignment horizontal="center"/>
      <protection hidden="1"/>
    </xf>
    <xf numFmtId="2" fontId="4" fillId="13" borderId="11" xfId="0" applyNumberFormat="1" applyFont="1" applyFill="1" applyBorder="1" applyAlignment="1" applyProtection="1">
      <alignment horizontal="center"/>
      <protection hidden="1"/>
    </xf>
    <xf numFmtId="2" fontId="4" fillId="13" borderId="12" xfId="0" applyNumberFormat="1" applyFont="1" applyFill="1" applyBorder="1" applyAlignment="1" applyProtection="1">
      <alignment horizontal="center"/>
      <protection hidden="1"/>
    </xf>
    <xf numFmtId="2" fontId="4" fillId="13" borderId="9" xfId="0" applyNumberFormat="1" applyFont="1" applyFill="1" applyBorder="1" applyAlignment="1" applyProtection="1">
      <alignment horizontal="center"/>
      <protection hidden="1"/>
    </xf>
    <xf numFmtId="2" fontId="4" fillId="13" borderId="10" xfId="0" applyNumberFormat="1" applyFont="1" applyFill="1" applyBorder="1" applyAlignment="1" applyProtection="1">
      <alignment horizontal="center"/>
      <protection hidden="1"/>
    </xf>
    <xf numFmtId="164" fontId="4" fillId="13" borderId="13" xfId="0" applyNumberFormat="1" applyFont="1" applyFill="1" applyBorder="1" applyAlignment="1" applyProtection="1">
      <alignment horizontal="center"/>
      <protection hidden="1"/>
    </xf>
    <xf numFmtId="164" fontId="4" fillId="13" borderId="14" xfId="0" applyNumberFormat="1" applyFont="1" applyFill="1" applyBorder="1" applyAlignment="1" applyProtection="1">
      <alignment horizontal="center"/>
      <protection hidden="1"/>
    </xf>
    <xf numFmtId="0" fontId="7" fillId="14" borderId="0" xfId="0" applyFont="1" applyFill="1" applyAlignment="1" applyProtection="1">
      <alignment horizontal="center"/>
      <protection locked="0" hidden="1"/>
    </xf>
    <xf numFmtId="2" fontId="4" fillId="0" borderId="0" xfId="0" applyNumberFormat="1" applyFont="1" applyAlignment="1" applyProtection="1">
      <alignment horizontal="center"/>
      <protection hidden="1"/>
    </xf>
    <xf numFmtId="1" fontId="4" fillId="0" borderId="7" xfId="0" applyNumberFormat="1" applyFont="1" applyBorder="1" applyAlignment="1" applyProtection="1">
      <alignment horizontal="center"/>
      <protection hidden="1"/>
    </xf>
    <xf numFmtId="1" fontId="4" fillId="0" borderId="21" xfId="0" applyNumberFormat="1" applyFont="1" applyBorder="1" applyAlignment="1" applyProtection="1">
      <alignment horizontal="center"/>
      <protection hidden="1"/>
    </xf>
    <xf numFmtId="1" fontId="4" fillId="0" borderId="8" xfId="0" applyNumberFormat="1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11" borderId="2" xfId="0" applyFont="1" applyFill="1" applyBorder="1" applyAlignment="1" applyProtection="1">
      <alignment horizontal="center"/>
      <protection hidden="1"/>
    </xf>
    <xf numFmtId="0" fontId="4" fillId="11" borderId="4" xfId="0" applyFont="1" applyFill="1" applyBorder="1" applyAlignment="1" applyProtection="1">
      <alignment horizontal="center"/>
      <protection hidden="1"/>
    </xf>
    <xf numFmtId="0" fontId="4" fillId="12" borderId="2" xfId="0" applyFont="1" applyFill="1" applyBorder="1" applyAlignment="1" applyProtection="1">
      <alignment horizontal="center"/>
      <protection hidden="1"/>
    </xf>
    <xf numFmtId="0" fontId="4" fillId="12" borderId="4" xfId="0" applyFont="1" applyFill="1" applyBorder="1" applyAlignment="1" applyProtection="1">
      <alignment horizontal="center"/>
      <protection hidden="1"/>
    </xf>
    <xf numFmtId="0" fontId="4" fillId="13" borderId="2" xfId="0" applyFont="1" applyFill="1" applyBorder="1" applyAlignment="1" applyProtection="1">
      <alignment horizontal="center"/>
      <protection hidden="1"/>
    </xf>
    <xf numFmtId="0" fontId="4" fillId="13" borderId="4" xfId="0" applyFont="1" applyFill="1" applyBorder="1" applyAlignment="1" applyProtection="1">
      <alignment horizontal="center"/>
      <protection hidden="1"/>
    </xf>
    <xf numFmtId="1" fontId="4" fillId="11" borderId="15" xfId="0" applyNumberFormat="1" applyFont="1" applyFill="1" applyBorder="1" applyAlignment="1" applyProtection="1">
      <alignment horizontal="center"/>
      <protection hidden="1"/>
    </xf>
    <xf numFmtId="1" fontId="4" fillId="11" borderId="16" xfId="0" applyNumberFormat="1" applyFont="1" applyFill="1" applyBorder="1" applyAlignment="1" applyProtection="1">
      <alignment horizontal="center"/>
      <protection hidden="1"/>
    </xf>
    <xf numFmtId="1" fontId="4" fillId="12" borderId="15" xfId="0" applyNumberFormat="1" applyFont="1" applyFill="1" applyBorder="1" applyAlignment="1" applyProtection="1">
      <alignment horizontal="center"/>
      <protection hidden="1"/>
    </xf>
    <xf numFmtId="1" fontId="4" fillId="12" borderId="16" xfId="0" applyNumberFormat="1" applyFont="1" applyFill="1" applyBorder="1" applyAlignment="1" applyProtection="1">
      <alignment horizontal="center"/>
      <protection hidden="1"/>
    </xf>
    <xf numFmtId="1" fontId="4" fillId="13" borderId="15" xfId="0" applyNumberFormat="1" applyFont="1" applyFill="1" applyBorder="1" applyAlignment="1" applyProtection="1">
      <alignment horizontal="center"/>
      <protection hidden="1"/>
    </xf>
    <xf numFmtId="1" fontId="4" fillId="13" borderId="16" xfId="0" applyNumberFormat="1" applyFont="1" applyFill="1" applyBorder="1" applyAlignment="1" applyProtection="1">
      <alignment horizontal="center"/>
      <protection hidden="1"/>
    </xf>
    <xf numFmtId="0" fontId="0" fillId="6" borderId="2" xfId="0" applyFill="1" applyBorder="1" applyAlignment="1" applyProtection="1">
      <alignment horizontal="center"/>
      <protection hidden="1"/>
    </xf>
    <xf numFmtId="0" fontId="0" fillId="6" borderId="4" xfId="0" applyFill="1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/>
      <protection locked="0" hidden="1"/>
    </xf>
    <xf numFmtId="0" fontId="0" fillId="6" borderId="2" xfId="0" applyFill="1" applyBorder="1" applyAlignment="1" applyProtection="1">
      <alignment horizontal="center"/>
      <protection locked="0" hidden="1"/>
    </xf>
    <xf numFmtId="0" fontId="0" fillId="6" borderId="5" xfId="0" applyFill="1" applyBorder="1" applyAlignment="1" applyProtection="1">
      <alignment horizontal="center"/>
      <protection locked="0" hidden="1"/>
    </xf>
  </cellXfs>
  <cellStyles count="5">
    <cellStyle name="Komma 2" xfId="4" xr:uid="{75DB5F31-B7B9-44B8-8DEC-9626BE5CC2D7}"/>
    <cellStyle name="Prozent 2" xfId="2" xr:uid="{19C34151-C9FE-40CA-A149-AB23C7B0F651}"/>
    <cellStyle name="Standard" xfId="0" builtinId="0"/>
    <cellStyle name="Standard 2" xfId="1" xr:uid="{2C9A5DAB-7566-4386-A6B0-35A220BED397}"/>
    <cellStyle name="Standard 3 3" xfId="3" xr:uid="{C1EBA4B3-4F04-442C-802F-24D710729CC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4A9E9-C594-4289-9646-5FDE81738EDC}">
  <sheetPr>
    <tabColor theme="5"/>
  </sheetPr>
  <dimension ref="A2:AK107"/>
  <sheetViews>
    <sheetView showGridLines="0" tabSelected="1" zoomScaleNormal="100" zoomScaleSheetLayoutView="85" workbookViewId="0">
      <selection activeCell="L25" sqref="L25"/>
    </sheetView>
  </sheetViews>
  <sheetFormatPr baseColWidth="10" defaultColWidth="11.5703125" defaultRowHeight="12.75" x14ac:dyDescent="0.2"/>
  <cols>
    <col min="1" max="1" width="4.5703125" style="15" customWidth="1"/>
    <col min="2" max="2" width="15.7109375" style="15" customWidth="1"/>
    <col min="3" max="4" width="8.28515625" style="15" customWidth="1"/>
    <col min="5" max="5" width="13.28515625" style="15" bestFit="1" customWidth="1"/>
    <col min="6" max="6" width="8.28515625" style="15" hidden="1" customWidth="1"/>
    <col min="7" max="7" width="15.7109375" style="15" customWidth="1"/>
    <col min="8" max="9" width="8.28515625" style="15" customWidth="1"/>
    <col min="10" max="10" width="13.28515625" style="15" bestFit="1" customWidth="1"/>
    <col min="11" max="11" width="8.28515625" style="15" hidden="1" customWidth="1"/>
    <col min="12" max="12" width="13.28515625" style="15" customWidth="1"/>
    <col min="13" max="14" width="8.28515625" style="15" customWidth="1"/>
    <col min="15" max="15" width="13.28515625" style="15" bestFit="1" customWidth="1"/>
    <col min="16" max="16" width="8.28515625" style="15" hidden="1" customWidth="1"/>
    <col min="17" max="18" width="8.28515625" style="15" customWidth="1"/>
    <col min="19" max="19" width="21.5703125" style="15" customWidth="1"/>
    <col min="20" max="24" width="9.7109375" style="15" customWidth="1"/>
    <col min="25" max="25" width="9.7109375" style="19" customWidth="1"/>
    <col min="26" max="26" width="8.28515625" style="15" customWidth="1"/>
    <col min="27" max="27" width="13.28515625" style="15" customWidth="1"/>
    <col min="28" max="28" width="14.140625" style="15" bestFit="1" customWidth="1"/>
    <col min="29" max="37" width="7.7109375" style="15" customWidth="1"/>
    <col min="38" max="38" width="10.7109375" style="15" bestFit="1" customWidth="1"/>
    <col min="39" max="39" width="7.7109375" style="15" customWidth="1"/>
    <col min="40" max="40" width="18.28515625" style="15" customWidth="1"/>
    <col min="41" max="41" width="11.5703125" style="15"/>
    <col min="42" max="42" width="10.5703125" style="15" bestFit="1" customWidth="1"/>
    <col min="43" max="43" width="9.140625" style="15" bestFit="1" customWidth="1"/>
    <col min="44" max="44" width="11.140625" style="15" customWidth="1"/>
    <col min="45" max="45" width="9.5703125" style="15" bestFit="1" customWidth="1"/>
    <col min="46" max="46" width="13" style="15" bestFit="1" customWidth="1"/>
    <col min="47" max="48" width="8.7109375" style="15" bestFit="1" customWidth="1"/>
    <col min="49" max="49" width="8.7109375" style="15" customWidth="1"/>
    <col min="50" max="51" width="8.7109375" style="15" bestFit="1" customWidth="1"/>
    <col min="52" max="16384" width="11.5703125" style="15"/>
  </cols>
  <sheetData>
    <row r="2" spans="1:32" x14ac:dyDescent="0.2">
      <c r="B2" s="27"/>
      <c r="L2" s="19"/>
      <c r="Z2" s="7"/>
      <c r="AA2" s="7"/>
      <c r="AB2" s="7"/>
      <c r="AC2" s="7"/>
      <c r="AD2" s="7"/>
      <c r="AE2" s="7"/>
      <c r="AF2" s="7"/>
    </row>
    <row r="3" spans="1:32" ht="18.75" x14ac:dyDescent="0.3">
      <c r="B3" s="55" t="str">
        <f>IF('ULOW E PURA Heating 30-60 K'!Q6="","Thermal heat output of Ulow-E aligned to EN 16430","Thermal heat output of ULOW E PURMO / Radson according to EN 16430")</f>
        <v>Thermal heat output of Ulow-E aligned to EN 16430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Z3" s="31"/>
      <c r="AA3" s="31"/>
      <c r="AB3" s="31"/>
      <c r="AC3" s="31"/>
      <c r="AD3" s="31"/>
      <c r="AE3" s="31"/>
      <c r="AF3" s="14"/>
    </row>
    <row r="4" spans="1:32" x14ac:dyDescent="0.2">
      <c r="B4" s="27"/>
      <c r="L4" s="19"/>
      <c r="Z4" s="101"/>
      <c r="AA4" s="101"/>
      <c r="AB4" s="14"/>
      <c r="AC4" s="14"/>
      <c r="AD4" s="31"/>
      <c r="AE4" s="31"/>
      <c r="AF4" s="14"/>
    </row>
    <row r="5" spans="1:32" x14ac:dyDescent="0.2">
      <c r="B5" s="27"/>
      <c r="L5" s="19"/>
      <c r="AB5" s="14"/>
      <c r="AC5" s="14"/>
      <c r="AD5" s="31"/>
      <c r="AE5" s="31"/>
      <c r="AF5" s="14"/>
    </row>
    <row r="6" spans="1:32" x14ac:dyDescent="0.2">
      <c r="B6" s="6" t="s">
        <v>3</v>
      </c>
      <c r="C6" s="6"/>
      <c r="D6" s="6"/>
      <c r="H6" s="6"/>
      <c r="I6" s="6"/>
      <c r="L6" s="19"/>
      <c r="M6" s="6"/>
      <c r="N6" s="6"/>
      <c r="Z6" s="31"/>
      <c r="AA6" s="14"/>
      <c r="AB6" s="14"/>
      <c r="AC6" s="14"/>
      <c r="AD6" s="31"/>
      <c r="AE6" s="31"/>
      <c r="AF6" s="14"/>
    </row>
    <row r="7" spans="1:32" ht="15" x14ac:dyDescent="0.25">
      <c r="B7" s="100">
        <v>45</v>
      </c>
      <c r="C7" s="15" t="s">
        <v>7</v>
      </c>
      <c r="D7" s="19"/>
      <c r="G7" s="41" t="str">
        <f>IF(B7&gt;60,"!!Please note: Maximum operating temperature: 60 °C!!","")</f>
        <v/>
      </c>
      <c r="I7" s="19"/>
      <c r="L7" s="19"/>
      <c r="N7" s="19"/>
      <c r="Z7" s="31"/>
      <c r="AA7" s="14"/>
      <c r="AB7" s="14"/>
      <c r="AC7" s="14"/>
      <c r="AD7" s="31"/>
      <c r="AE7" s="31"/>
      <c r="AF7" s="14"/>
    </row>
    <row r="8" spans="1:32" x14ac:dyDescent="0.2">
      <c r="B8" s="100">
        <v>35</v>
      </c>
      <c r="C8" s="15" t="s">
        <v>10</v>
      </c>
      <c r="D8" s="19"/>
      <c r="I8" s="19"/>
      <c r="L8" s="19"/>
      <c r="N8" s="19"/>
      <c r="Z8" s="31"/>
      <c r="AA8" s="14"/>
      <c r="AB8" s="14"/>
      <c r="AC8" s="14"/>
      <c r="AD8" s="31"/>
      <c r="AE8" s="31"/>
      <c r="AF8" s="14"/>
    </row>
    <row r="9" spans="1:32" x14ac:dyDescent="0.2">
      <c r="B9" s="100">
        <v>20</v>
      </c>
      <c r="C9" s="15" t="s">
        <v>11</v>
      </c>
      <c r="L9" s="19"/>
      <c r="Z9" s="31"/>
      <c r="AA9" s="14"/>
      <c r="AB9" s="14"/>
      <c r="AC9" s="14"/>
      <c r="AD9" s="31"/>
      <c r="AE9" s="31"/>
      <c r="AF9" s="14"/>
    </row>
    <row r="10" spans="1:32" x14ac:dyDescent="0.2">
      <c r="B10" s="27"/>
      <c r="L10" s="19"/>
      <c r="Z10" s="14"/>
      <c r="AA10" s="14"/>
      <c r="AB10" s="14"/>
      <c r="AC10" s="14"/>
      <c r="AD10" s="31"/>
      <c r="AE10" s="14"/>
      <c r="AF10" s="14"/>
    </row>
    <row r="11" spans="1:32" x14ac:dyDescent="0.2">
      <c r="E11" s="19"/>
      <c r="J11" s="19"/>
      <c r="O11" s="19"/>
      <c r="R11" s="19"/>
      <c r="Z11" s="14"/>
      <c r="AA11" s="14"/>
      <c r="AB11" s="14"/>
      <c r="AC11" s="14"/>
      <c r="AD11" s="31"/>
      <c r="AE11" s="14"/>
      <c r="AF11" s="14"/>
    </row>
    <row r="12" spans="1:32" x14ac:dyDescent="0.2">
      <c r="B12" s="38" t="s">
        <v>12</v>
      </c>
      <c r="C12" s="107">
        <v>500</v>
      </c>
      <c r="D12" s="108"/>
      <c r="E12" s="42"/>
      <c r="G12" s="38" t="s">
        <v>12</v>
      </c>
      <c r="H12" s="109">
        <v>600</v>
      </c>
      <c r="I12" s="110"/>
      <c r="J12" s="42"/>
      <c r="L12" s="38" t="s">
        <v>12</v>
      </c>
      <c r="M12" s="111">
        <v>900</v>
      </c>
      <c r="N12" s="112"/>
      <c r="O12" s="42"/>
      <c r="Z12" s="14"/>
      <c r="AA12" s="14"/>
      <c r="AB12" s="14"/>
      <c r="AC12" s="14"/>
      <c r="AD12" s="31"/>
      <c r="AE12" s="14"/>
      <c r="AF12" s="14"/>
    </row>
    <row r="13" spans="1:32" x14ac:dyDescent="0.2">
      <c r="B13" s="38" t="s">
        <v>13</v>
      </c>
      <c r="C13" s="67" t="s">
        <v>5</v>
      </c>
      <c r="D13" s="67" t="s">
        <v>6</v>
      </c>
      <c r="E13" s="38" t="s">
        <v>14</v>
      </c>
      <c r="F13" s="38" t="s">
        <v>15</v>
      </c>
      <c r="G13" s="38" t="s">
        <v>13</v>
      </c>
      <c r="H13" s="70" t="s">
        <v>5</v>
      </c>
      <c r="I13" s="70" t="s">
        <v>16</v>
      </c>
      <c r="J13" s="38" t="s">
        <v>14</v>
      </c>
      <c r="K13" s="38" t="s">
        <v>15</v>
      </c>
      <c r="L13" s="38" t="s">
        <v>13</v>
      </c>
      <c r="M13" s="73" t="s">
        <v>5</v>
      </c>
      <c r="N13" s="73" t="s">
        <v>16</v>
      </c>
      <c r="O13" s="38" t="s">
        <v>14</v>
      </c>
      <c r="P13" s="38" t="s">
        <v>15</v>
      </c>
      <c r="Z13" s="14"/>
      <c r="AA13" s="14"/>
      <c r="AB13" s="14"/>
      <c r="AC13" s="14"/>
      <c r="AD13" s="31"/>
      <c r="AE13" s="14"/>
      <c r="AF13" s="14"/>
    </row>
    <row r="14" spans="1:32" x14ac:dyDescent="0.2">
      <c r="B14" s="38" t="s">
        <v>17</v>
      </c>
      <c r="C14" s="67" t="s">
        <v>9</v>
      </c>
      <c r="D14" s="67" t="s">
        <v>9</v>
      </c>
      <c r="E14" s="38" t="s">
        <v>18</v>
      </c>
      <c r="F14" s="38"/>
      <c r="G14" s="38" t="s">
        <v>17</v>
      </c>
      <c r="H14" s="70" t="s">
        <v>9</v>
      </c>
      <c r="I14" s="70" t="s">
        <v>9</v>
      </c>
      <c r="J14" s="38" t="s">
        <v>18</v>
      </c>
      <c r="K14" s="38"/>
      <c r="L14" s="38" t="s">
        <v>17</v>
      </c>
      <c r="M14" s="73" t="s">
        <v>9</v>
      </c>
      <c r="N14" s="73" t="s">
        <v>9</v>
      </c>
      <c r="O14" s="38" t="s">
        <v>18</v>
      </c>
      <c r="P14" s="38"/>
      <c r="Z14" s="14"/>
      <c r="AA14" s="14"/>
      <c r="AB14" s="14"/>
      <c r="AC14" s="14"/>
      <c r="AD14" s="31"/>
      <c r="AE14" s="14"/>
      <c r="AF14" s="14"/>
    </row>
    <row r="15" spans="1:32" x14ac:dyDescent="0.2">
      <c r="B15" s="38">
        <v>1000</v>
      </c>
      <c r="C15" s="68">
        <f>SUM('ULOW E PURA Heating 30-60 K'!AA7,'ULOW E PURA Heating 10-&lt;30 K'!AA7)</f>
        <v>426</v>
      </c>
      <c r="D15" s="68">
        <f>SUM('ULOW E PURA Heating 30-60 K'!AB7,'ULOW E PURA Heating 10-&lt;30 K'!AB7)</f>
        <v>709</v>
      </c>
      <c r="E15" s="38" t="str">
        <f>B7&amp;"/"&amp;B8&amp;"/"&amp;B9&amp;" °C"</f>
        <v>45/35/20 °C</v>
      </c>
      <c r="F15" s="38" t="e">
        <f>#REF!</f>
        <v>#REF!</v>
      </c>
      <c r="G15" s="38">
        <v>1000</v>
      </c>
      <c r="H15" s="71">
        <f>SUM('ULOW E PURA Heating 30-60 K'!AA13,'ULOW E PURA Heating 10-&lt;30 K'!AA13)</f>
        <v>479</v>
      </c>
      <c r="I15" s="71">
        <f>SUM('ULOW E PURA Heating 30-60 K'!AB13,'ULOW E PURA Heating 10-&lt;30 K'!AB13)</f>
        <v>766</v>
      </c>
      <c r="J15" s="38" t="str">
        <f>B7&amp;"/"&amp;B8&amp;"/"&amp;B9&amp;" °C"</f>
        <v>45/35/20 °C</v>
      </c>
      <c r="K15" s="38" t="e">
        <f>#REF!</f>
        <v>#REF!</v>
      </c>
      <c r="L15" s="38">
        <v>1000</v>
      </c>
      <c r="M15" s="74">
        <f>SUM('ULOW E PURA Heating 30-60 K'!AA19,'ULOW E PURA Heating 10-&lt;30 K'!AA19)</f>
        <v>629</v>
      </c>
      <c r="N15" s="74">
        <f>SUM('ULOW E PURA Heating 30-60 K'!AB19,'ULOW E PURA Heating 10-&lt;30 K'!AB19)</f>
        <v>923</v>
      </c>
      <c r="O15" s="38" t="str">
        <f>B7&amp;"/"&amp;B8&amp;"/"&amp;B9&amp;" °C"</f>
        <v>45/35/20 °C</v>
      </c>
      <c r="P15" s="38" t="e">
        <f>#REF!</f>
        <v>#REF!</v>
      </c>
      <c r="Z15" s="14"/>
      <c r="AA15" s="14"/>
      <c r="AB15" s="14"/>
      <c r="AC15" s="14"/>
      <c r="AD15" s="31"/>
      <c r="AE15" s="14"/>
      <c r="AF15" s="14"/>
    </row>
    <row r="16" spans="1:32" s="7" customFormat="1" x14ac:dyDescent="0.2">
      <c r="A16" s="15"/>
      <c r="B16" s="38" t="s">
        <v>19</v>
      </c>
      <c r="C16" s="69">
        <f>SUM('ULOW E PURA Heating 30-60 K'!AA8,'ULOW E PURA Heating 10-&lt;30 K'!AA8)</f>
        <v>1.3463400000000001</v>
      </c>
      <c r="D16" s="69">
        <f>SUM('ULOW E PURA Heating 30-60 K'!AB8,'ULOW E PURA Heating 10-&lt;30 K'!AB8)</f>
        <v>1.1326499999999999</v>
      </c>
      <c r="E16" s="19"/>
      <c r="F16" s="19"/>
      <c r="G16" s="38" t="s">
        <v>19</v>
      </c>
      <c r="H16" s="72">
        <f>SUM('ULOW E PURA Heating 30-60 K'!AA14,'ULOW E PURA Heating 10-&lt;30 K'!AA14)</f>
        <v>1.31098</v>
      </c>
      <c r="I16" s="72">
        <f>SUM('ULOW E PURA Heating 30-60 K'!AB14,'ULOW E PURA Heating 10-&lt;30 K'!AB14)</f>
        <v>1.1208400000000001</v>
      </c>
      <c r="J16" s="19"/>
      <c r="K16" s="19"/>
      <c r="L16" s="38" t="s">
        <v>19</v>
      </c>
      <c r="M16" s="75">
        <f>SUM('ULOW E PURA Heating 30-60 K'!AA20,'ULOW E PURA Heating 10-&lt;30 K'!AA20)</f>
        <v>1.34843</v>
      </c>
      <c r="N16" s="75">
        <f>SUM('ULOW E PURA Heating 30-60 K'!AB20,'ULOW E PURA Heating 10-&lt;30 K'!AB20)</f>
        <v>1.15483</v>
      </c>
      <c r="O16" s="19"/>
      <c r="P16" s="19"/>
      <c r="AB16" s="44"/>
      <c r="AC16" s="44"/>
      <c r="AD16" s="15"/>
      <c r="AE16" s="15"/>
      <c r="AF16" s="44"/>
    </row>
    <row r="17" spans="1:29" s="7" customFormat="1" x14ac:dyDescent="0.2">
      <c r="B17" s="15"/>
      <c r="C17" s="15"/>
      <c r="D17" s="15"/>
      <c r="E17" s="19"/>
      <c r="F17" s="15"/>
      <c r="G17" s="15"/>
      <c r="H17" s="15"/>
      <c r="I17" s="15"/>
      <c r="J17" s="19"/>
      <c r="K17" s="15"/>
      <c r="M17" s="15"/>
      <c r="N17" s="15"/>
      <c r="O17" s="19"/>
      <c r="P17" s="15"/>
    </row>
    <row r="18" spans="1:29" s="7" customFormat="1" hidden="1" x14ac:dyDescent="0.2">
      <c r="B18" s="37">
        <v>1200</v>
      </c>
      <c r="C18" s="59">
        <f>$B$18*C15/1000</f>
        <v>511.2</v>
      </c>
      <c r="D18" s="59">
        <f t="shared" ref="D18:N18" si="0">$B$18*D15/1000</f>
        <v>850.8</v>
      </c>
      <c r="F18" s="7" t="e">
        <f t="shared" si="0"/>
        <v>#REF!</v>
      </c>
      <c r="G18" s="7">
        <f t="shared" si="0"/>
        <v>1200</v>
      </c>
      <c r="H18" s="59">
        <f t="shared" si="0"/>
        <v>574.79999999999995</v>
      </c>
      <c r="I18" s="59">
        <f t="shared" si="0"/>
        <v>919.2</v>
      </c>
      <c r="J18" s="7" t="e">
        <f t="shared" si="0"/>
        <v>#VALUE!</v>
      </c>
      <c r="K18" s="7" t="e">
        <f t="shared" si="0"/>
        <v>#REF!</v>
      </c>
      <c r="L18" s="7">
        <f t="shared" si="0"/>
        <v>1200</v>
      </c>
      <c r="M18" s="59">
        <f t="shared" si="0"/>
        <v>754.8</v>
      </c>
      <c r="N18" s="59">
        <f t="shared" si="0"/>
        <v>1107.5999999999999</v>
      </c>
    </row>
    <row r="19" spans="1:29" x14ac:dyDescent="0.2">
      <c r="A19" s="7"/>
    </row>
    <row r="20" spans="1:29" x14ac:dyDescent="0.2">
      <c r="R20" s="19"/>
      <c r="Y20" s="15"/>
    </row>
    <row r="21" spans="1:29" x14ac:dyDescent="0.2">
      <c r="E21" s="58"/>
      <c r="H21" s="57"/>
      <c r="R21" s="19"/>
      <c r="Y21" s="15"/>
    </row>
    <row r="22" spans="1:29" x14ac:dyDescent="0.2">
      <c r="B22" s="105" t="str">
        <f>B3&amp;" at "&amp;B7&amp;" / "&amp;B8&amp;" / "&amp;B9&amp;" °C"</f>
        <v>Thermal heat output of Ulow-E aligned to EN 16430 at 45 / 35 / 20 °C</v>
      </c>
      <c r="C22" s="105"/>
      <c r="D22" s="105"/>
      <c r="E22" s="105"/>
      <c r="F22" s="105"/>
      <c r="G22" s="105"/>
      <c r="H22" s="105"/>
      <c r="R22" s="19"/>
      <c r="Y22" s="15"/>
    </row>
    <row r="23" spans="1:29" ht="13.5" thickBot="1" x14ac:dyDescent="0.25">
      <c r="B23" s="58" t="s">
        <v>0</v>
      </c>
      <c r="H23" s="19"/>
      <c r="O23" s="19"/>
      <c r="R23" s="19"/>
      <c r="Y23" s="15"/>
    </row>
    <row r="24" spans="1:29" ht="13.5" thickBot="1" x14ac:dyDescent="0.25">
      <c r="B24" s="60" t="s">
        <v>1</v>
      </c>
      <c r="C24" s="102">
        <v>22</v>
      </c>
      <c r="D24" s="103"/>
      <c r="E24" s="103"/>
      <c r="F24" s="103"/>
      <c r="G24" s="103"/>
      <c r="H24" s="104"/>
      <c r="R24" s="19"/>
      <c r="Y24" s="15"/>
    </row>
    <row r="25" spans="1:29" ht="13.5" thickBot="1" x14ac:dyDescent="0.25">
      <c r="B25" s="64" t="s">
        <v>2</v>
      </c>
      <c r="C25" s="113">
        <v>500</v>
      </c>
      <c r="D25" s="114"/>
      <c r="E25" s="115">
        <v>600</v>
      </c>
      <c r="F25" s="116"/>
      <c r="G25" s="117">
        <v>900</v>
      </c>
      <c r="H25" s="118"/>
      <c r="R25" s="19"/>
      <c r="Y25" s="15"/>
    </row>
    <row r="26" spans="1:29" ht="13.5" thickBot="1" x14ac:dyDescent="0.25">
      <c r="B26" s="65" t="s">
        <v>4</v>
      </c>
      <c r="C26" s="76" t="s">
        <v>5</v>
      </c>
      <c r="D26" s="77" t="s">
        <v>6</v>
      </c>
      <c r="E26" s="84" t="s">
        <v>5</v>
      </c>
      <c r="F26" s="85" t="s">
        <v>6</v>
      </c>
      <c r="G26" s="92" t="s">
        <v>5</v>
      </c>
      <c r="H26" s="93" t="s">
        <v>6</v>
      </c>
      <c r="R26" s="19"/>
      <c r="Y26" s="15"/>
    </row>
    <row r="27" spans="1:29" x14ac:dyDescent="0.2">
      <c r="B27" s="61" t="s">
        <v>8</v>
      </c>
      <c r="C27" s="78" t="s">
        <v>9</v>
      </c>
      <c r="D27" s="79" t="s">
        <v>9</v>
      </c>
      <c r="E27" s="86" t="s">
        <v>9</v>
      </c>
      <c r="F27" s="87" t="s">
        <v>9</v>
      </c>
      <c r="G27" s="94" t="s">
        <v>9</v>
      </c>
      <c r="H27" s="95" t="s">
        <v>9</v>
      </c>
      <c r="R27" s="19"/>
      <c r="Y27" s="15"/>
    </row>
    <row r="28" spans="1:29" x14ac:dyDescent="0.2">
      <c r="B28" s="62">
        <v>400</v>
      </c>
      <c r="C28" s="80" t="str">
        <f>FIXED(C$15*B28/1000,0)</f>
        <v>170</v>
      </c>
      <c r="D28" s="81" t="str">
        <f>FIXED(D$15*B28/1000,0)</f>
        <v>284</v>
      </c>
      <c r="E28" s="88" t="str">
        <f>FIXED(H$15*B28/1000,0)</f>
        <v>192</v>
      </c>
      <c r="F28" s="89" t="str">
        <f>FIXED(I$15*B28/1000,0)</f>
        <v>306</v>
      </c>
      <c r="G28" s="96" t="str">
        <f>FIXED(M$15*B28/1000,0)</f>
        <v>252</v>
      </c>
      <c r="H28" s="97" t="str">
        <f>FIXED(N$15*B28/1000,0)</f>
        <v>369</v>
      </c>
      <c r="R28" s="19"/>
      <c r="Y28" s="15"/>
    </row>
    <row r="29" spans="1:29" x14ac:dyDescent="0.2">
      <c r="B29" s="62">
        <v>600</v>
      </c>
      <c r="C29" s="80" t="str">
        <f>FIXED(C$15*B29/1000,0)</f>
        <v>256</v>
      </c>
      <c r="D29" s="81" t="str">
        <f>FIXED(D$15*B29/1000,0)</f>
        <v>425</v>
      </c>
      <c r="E29" s="88" t="str">
        <f>FIXED(H$15*B29/1000,0)</f>
        <v>287</v>
      </c>
      <c r="F29" s="89" t="str">
        <f>FIXED(I$15*B29/1000,0)</f>
        <v>460</v>
      </c>
      <c r="G29" s="96" t="str">
        <f>FIXED(M$15*B29/1000,0)</f>
        <v>377</v>
      </c>
      <c r="H29" s="97" t="str">
        <f>FIXED(N$15*B29/1000,0)</f>
        <v>554</v>
      </c>
      <c r="R29" s="19"/>
      <c r="W29" s="43"/>
    </row>
    <row r="30" spans="1:29" x14ac:dyDescent="0.2">
      <c r="A30" s="9"/>
      <c r="B30" s="62">
        <v>800</v>
      </c>
      <c r="C30" s="80" t="str">
        <f>FIXED(C$15*B30/1000,0)</f>
        <v>341</v>
      </c>
      <c r="D30" s="81" t="str">
        <f>FIXED(D$15*B30/1000,0)</f>
        <v>567</v>
      </c>
      <c r="E30" s="88" t="str">
        <f>FIXED(H$15*B30/1000,0)</f>
        <v>383</v>
      </c>
      <c r="F30" s="89" t="str">
        <f>FIXED(I$15*B30/1000,0)</f>
        <v>613</v>
      </c>
      <c r="G30" s="96" t="str">
        <f>FIXED(M$15*B30/1000,0)</f>
        <v>503</v>
      </c>
      <c r="H30" s="97" t="str">
        <f>FIXED(N$15*B30/1000,0)</f>
        <v>738</v>
      </c>
      <c r="O30" s="19"/>
      <c r="R30" s="19"/>
      <c r="W30" s="43"/>
      <c r="Y30" s="15"/>
      <c r="Z30" s="19"/>
      <c r="AA30" s="31"/>
      <c r="AB30" s="31"/>
      <c r="AC30" s="44"/>
    </row>
    <row r="31" spans="1:29" x14ac:dyDescent="0.2">
      <c r="A31" s="9"/>
      <c r="B31" s="62">
        <v>1000</v>
      </c>
      <c r="C31" s="80" t="str">
        <f>FIXED(C$15*B31/1000,0)</f>
        <v>426</v>
      </c>
      <c r="D31" s="81" t="str">
        <f>FIXED(D$15*B31/1000,0)</f>
        <v>709</v>
      </c>
      <c r="E31" s="88" t="str">
        <f>FIXED(H$15*B31/1000,0)</f>
        <v>479</v>
      </c>
      <c r="F31" s="89" t="str">
        <f>FIXED(I$15*B31/1000,0)</f>
        <v>766</v>
      </c>
      <c r="G31" s="96" t="str">
        <f>FIXED(M$15*B31/1000,0)</f>
        <v>629</v>
      </c>
      <c r="H31" s="97" t="str">
        <f>FIXED(N$15*B31/1000,0)</f>
        <v>923</v>
      </c>
      <c r="O31" s="19"/>
      <c r="R31" s="19"/>
      <c r="Y31" s="15"/>
      <c r="AB31" s="27"/>
    </row>
    <row r="32" spans="1:29" x14ac:dyDescent="0.2">
      <c r="A32" s="9"/>
      <c r="B32" s="62">
        <v>1200</v>
      </c>
      <c r="C32" s="80" t="str">
        <f>FIXED(C$15*B32/1000,0)</f>
        <v>511</v>
      </c>
      <c r="D32" s="81" t="str">
        <f>FIXED(D$15*B32/1000,0)</f>
        <v>851</v>
      </c>
      <c r="E32" s="88" t="str">
        <f>FIXED(H$15*B32/1000,0)</f>
        <v>575</v>
      </c>
      <c r="F32" s="89" t="str">
        <f>FIXED(I$15*B32/1000,0)</f>
        <v>919</v>
      </c>
      <c r="G32" s="96" t="str">
        <f>FIXED(M$15*B32/1000,0)</f>
        <v>755</v>
      </c>
      <c r="H32" s="97" t="str">
        <f>FIXED(N$15*B32/1000,0)</f>
        <v>1.108</v>
      </c>
      <c r="K32" s="31"/>
      <c r="O32" s="31"/>
      <c r="P32" s="31"/>
      <c r="R32" s="19"/>
      <c r="Y32" s="15"/>
    </row>
    <row r="33" spans="1:37" x14ac:dyDescent="0.2">
      <c r="A33" s="9"/>
      <c r="B33" s="62">
        <v>1400</v>
      </c>
      <c r="C33" s="80" t="str">
        <f>FIXED(C$15*B33/1000,0)</f>
        <v>596</v>
      </c>
      <c r="D33" s="81" t="str">
        <f>FIXED(D$15*B33/1000,0)</f>
        <v>993</v>
      </c>
      <c r="E33" s="88" t="str">
        <f>FIXED(H$15*B33/1000,0)</f>
        <v>671</v>
      </c>
      <c r="F33" s="89" t="str">
        <f>FIXED(I$15*B33/1000,0)</f>
        <v>1.072</v>
      </c>
      <c r="G33" s="96" t="str">
        <f>FIXED(M$15*B33/1000,0)</f>
        <v>881</v>
      </c>
      <c r="H33" s="97" t="str">
        <f>FIXED(N$15*B33/1000,0)</f>
        <v>1.292</v>
      </c>
      <c r="K33" s="8"/>
      <c r="O33" s="8"/>
      <c r="P33" s="8"/>
      <c r="R33" s="19"/>
      <c r="AC33" s="19"/>
      <c r="AD33" s="31"/>
    </row>
    <row r="34" spans="1:37" x14ac:dyDescent="0.2">
      <c r="A34" s="9"/>
      <c r="B34" s="62">
        <v>1600</v>
      </c>
      <c r="C34" s="80" t="str">
        <f>FIXED(C$15*B34/1000,0)</f>
        <v>682</v>
      </c>
      <c r="D34" s="81" t="str">
        <f>FIXED(D$15*B34/1000,0)</f>
        <v>1.134</v>
      </c>
      <c r="E34" s="88" t="str">
        <f>FIXED(H$15*B34/1000,0)</f>
        <v>766</v>
      </c>
      <c r="F34" s="89" t="str">
        <f>FIXED(I$15*B34/1000,0)</f>
        <v>1.226</v>
      </c>
      <c r="G34" s="96" t="str">
        <f>FIXED(M$15*B34/1000,0)</f>
        <v>1.006</v>
      </c>
      <c r="H34" s="97" t="str">
        <f>FIXED(N$15*B34/1000,0)</f>
        <v>1.477</v>
      </c>
      <c r="L34" s="8"/>
      <c r="AJ34" s="19"/>
      <c r="AK34" s="31"/>
    </row>
    <row r="35" spans="1:37" x14ac:dyDescent="0.2">
      <c r="A35" s="9"/>
      <c r="B35" s="62">
        <v>1800</v>
      </c>
      <c r="C35" s="80" t="str">
        <f>FIXED(C$15*B35/1000,0)</f>
        <v>767</v>
      </c>
      <c r="D35" s="81" t="str">
        <f>FIXED(D$15*B35/1000,0)</f>
        <v>1.276</v>
      </c>
      <c r="E35" s="88" t="str">
        <f>FIXED(H$15*B35/1000,0)</f>
        <v>862</v>
      </c>
      <c r="F35" s="89" t="str">
        <f>FIXED(I$15*B35/1000,0)</f>
        <v>1.379</v>
      </c>
      <c r="G35" s="96" t="str">
        <f>FIXED(M$15*B35/1000,0)</f>
        <v>1.132</v>
      </c>
      <c r="H35" s="97" t="str">
        <f>FIXED(N$15*B35/1000,0)</f>
        <v>1.661</v>
      </c>
      <c r="L35" s="8"/>
      <c r="AJ35" s="31"/>
      <c r="AK35" s="44"/>
    </row>
    <row r="36" spans="1:37" x14ac:dyDescent="0.2">
      <c r="A36" s="9"/>
      <c r="B36" s="62">
        <v>2000</v>
      </c>
      <c r="C36" s="80" t="str">
        <f>FIXED(C$15*B36/1000,0)</f>
        <v>852</v>
      </c>
      <c r="D36" s="81" t="str">
        <f>FIXED(D$15*B36/1000,0)</f>
        <v>1.418</v>
      </c>
      <c r="E36" s="88" t="str">
        <f>FIXED(H$15*B36/1000,0)</f>
        <v>958</v>
      </c>
      <c r="F36" s="89" t="str">
        <f>FIXED(I$15*B36/1000,0)</f>
        <v>1.532</v>
      </c>
      <c r="G36" s="96" t="str">
        <f>FIXED(M$15*B36/1000,0)</f>
        <v>1.258</v>
      </c>
      <c r="H36" s="97" t="str">
        <f>FIXED(N$15*B36/1000,0)</f>
        <v>1.846</v>
      </c>
      <c r="L36" s="31"/>
      <c r="AJ36" s="44"/>
    </row>
    <row r="37" spans="1:37" ht="13.5" thickBot="1" x14ac:dyDescent="0.25">
      <c r="A37" s="9"/>
      <c r="B37" s="63" t="s">
        <v>20</v>
      </c>
      <c r="C37" s="82">
        <f>C16</f>
        <v>1.3463400000000001</v>
      </c>
      <c r="D37" s="83">
        <f>D16</f>
        <v>1.1326499999999999</v>
      </c>
      <c r="E37" s="90">
        <f>H16</f>
        <v>1.31098</v>
      </c>
      <c r="F37" s="91">
        <f>I16</f>
        <v>1.1208400000000001</v>
      </c>
      <c r="G37" s="98">
        <f>M16</f>
        <v>1.34843</v>
      </c>
      <c r="H37" s="99">
        <f>N16</f>
        <v>1.15483</v>
      </c>
      <c r="I37" s="31"/>
      <c r="K37" s="19"/>
      <c r="L37" s="31"/>
      <c r="M37" s="19"/>
      <c r="N37" s="31"/>
      <c r="O37" s="31"/>
      <c r="P37" s="19"/>
    </row>
    <row r="38" spans="1:37" x14ac:dyDescent="0.2">
      <c r="A38" s="9"/>
      <c r="I38" s="31"/>
      <c r="K38" s="19"/>
      <c r="L38" s="31"/>
      <c r="M38" s="31"/>
      <c r="N38" s="31"/>
      <c r="O38" s="44"/>
      <c r="P38" s="19"/>
    </row>
    <row r="39" spans="1:37" x14ac:dyDescent="0.2">
      <c r="A39" s="9"/>
      <c r="B39" s="66" t="str">
        <f>G7</f>
        <v/>
      </c>
      <c r="I39" s="19"/>
      <c r="K39" s="19"/>
      <c r="L39" s="8"/>
      <c r="M39" s="31"/>
      <c r="N39" s="19"/>
      <c r="O39" s="19"/>
      <c r="P39" s="19"/>
    </row>
    <row r="40" spans="1:37" ht="20.25" x14ac:dyDescent="0.3">
      <c r="A40" s="9"/>
      <c r="B40" s="1"/>
      <c r="L40" s="8"/>
    </row>
    <row r="41" spans="1:37" x14ac:dyDescent="0.2">
      <c r="A41" s="9"/>
      <c r="H41" s="57"/>
    </row>
    <row r="42" spans="1:37" x14ac:dyDescent="0.2">
      <c r="A42" s="9"/>
      <c r="H42" s="57"/>
    </row>
    <row r="43" spans="1:37" x14ac:dyDescent="0.2">
      <c r="A43" s="9"/>
      <c r="H43" s="57"/>
    </row>
    <row r="44" spans="1:37" x14ac:dyDescent="0.2">
      <c r="A44" s="9"/>
      <c r="H44" s="57"/>
    </row>
    <row r="45" spans="1:37" x14ac:dyDescent="0.2">
      <c r="A45" s="14"/>
      <c r="L45" s="14"/>
    </row>
    <row r="46" spans="1:37" x14ac:dyDescent="0.2">
      <c r="A46" s="14"/>
      <c r="H46" s="57"/>
    </row>
    <row r="47" spans="1:37" x14ac:dyDescent="0.2">
      <c r="A47" s="14"/>
      <c r="E47" s="57"/>
      <c r="H47" s="57"/>
    </row>
    <row r="48" spans="1:37" x14ac:dyDescent="0.2">
      <c r="A48" s="14"/>
      <c r="H48" s="57"/>
    </row>
    <row r="49" spans="1:16" x14ac:dyDescent="0.2">
      <c r="A49" s="14"/>
      <c r="P49" s="14"/>
    </row>
    <row r="50" spans="1:16" x14ac:dyDescent="0.2">
      <c r="A50" s="14"/>
      <c r="P50" s="14"/>
    </row>
    <row r="51" spans="1:16" x14ac:dyDescent="0.2">
      <c r="A51" s="14"/>
      <c r="P51" s="14"/>
    </row>
    <row r="52" spans="1:16" x14ac:dyDescent="0.2">
      <c r="A52" s="14"/>
      <c r="P52" s="14"/>
    </row>
    <row r="53" spans="1:16" x14ac:dyDescent="0.2">
      <c r="A53" s="14"/>
      <c r="P53" s="14"/>
    </row>
    <row r="54" spans="1:16" x14ac:dyDescent="0.2">
      <c r="A54" s="14"/>
      <c r="P54" s="14"/>
    </row>
    <row r="55" spans="1:16" x14ac:dyDescent="0.2">
      <c r="A55" s="14"/>
      <c r="P55" s="14"/>
    </row>
    <row r="56" spans="1:16" x14ac:dyDescent="0.2">
      <c r="A56" s="14"/>
      <c r="P56" s="14"/>
    </row>
    <row r="57" spans="1:16" x14ac:dyDescent="0.2">
      <c r="A57" s="31"/>
      <c r="P57" s="14"/>
    </row>
    <row r="58" spans="1:16" x14ac:dyDescent="0.2">
      <c r="A58" s="31"/>
      <c r="P58" s="14"/>
    </row>
    <row r="59" spans="1:16" x14ac:dyDescent="0.2">
      <c r="A59" s="31"/>
      <c r="P59" s="14"/>
    </row>
    <row r="60" spans="1:16" x14ac:dyDescent="0.2">
      <c r="A60" s="31"/>
      <c r="P60" s="14"/>
    </row>
    <row r="61" spans="1:16" x14ac:dyDescent="0.2">
      <c r="A61" s="31"/>
      <c r="P61" s="14"/>
    </row>
    <row r="62" spans="1:16" x14ac:dyDescent="0.2">
      <c r="A62" s="31"/>
      <c r="P62" s="14"/>
    </row>
    <row r="63" spans="1:16" x14ac:dyDescent="0.2">
      <c r="A63" s="31"/>
      <c r="P63" s="14"/>
    </row>
    <row r="64" spans="1:16" x14ac:dyDescent="0.2">
      <c r="A64" s="31"/>
      <c r="B64" s="31"/>
      <c r="C64" s="31"/>
      <c r="D64" s="14"/>
      <c r="E64" s="14"/>
      <c r="F64" s="14"/>
      <c r="G64" s="14"/>
      <c r="H64" s="31"/>
      <c r="I64" s="14"/>
      <c r="J64" s="14"/>
      <c r="K64" s="14"/>
      <c r="L64" s="14"/>
      <c r="M64" s="31"/>
      <c r="N64" s="14"/>
      <c r="O64" s="14"/>
      <c r="P64" s="14"/>
    </row>
    <row r="65" spans="1:16" x14ac:dyDescent="0.2">
      <c r="A65" s="31"/>
      <c r="B65" s="31"/>
      <c r="C65" s="31"/>
      <c r="D65" s="14"/>
      <c r="E65" s="14"/>
      <c r="F65" s="14"/>
      <c r="G65" s="14"/>
      <c r="H65" s="31"/>
      <c r="I65" s="14"/>
      <c r="J65" s="14"/>
      <c r="K65" s="14"/>
      <c r="L65" s="14"/>
      <c r="M65" s="31"/>
      <c r="N65" s="14"/>
      <c r="O65" s="14"/>
      <c r="P65" s="14"/>
    </row>
    <row r="66" spans="1:16" x14ac:dyDescent="0.2">
      <c r="A66" s="31"/>
      <c r="B66" s="31"/>
      <c r="C66" s="31"/>
      <c r="D66" s="14"/>
      <c r="E66" s="14"/>
      <c r="F66" s="14"/>
      <c r="G66" s="14"/>
      <c r="H66" s="31"/>
      <c r="I66" s="14"/>
      <c r="J66" s="14"/>
      <c r="K66" s="14"/>
      <c r="L66" s="14"/>
      <c r="M66" s="31"/>
      <c r="N66" s="14"/>
      <c r="O66" s="14"/>
      <c r="P66" s="14"/>
    </row>
    <row r="67" spans="1:16" x14ac:dyDescent="0.2">
      <c r="A67" s="31"/>
      <c r="B67" s="31"/>
      <c r="C67" s="31"/>
      <c r="D67" s="14"/>
      <c r="E67" s="14"/>
      <c r="F67" s="14"/>
      <c r="G67" s="14"/>
      <c r="H67" s="31"/>
      <c r="I67" s="14"/>
      <c r="J67" s="14"/>
      <c r="K67" s="14"/>
      <c r="L67" s="14"/>
      <c r="M67" s="31"/>
      <c r="N67" s="14"/>
      <c r="O67" s="14"/>
      <c r="P67" s="14"/>
    </row>
    <row r="68" spans="1:16" x14ac:dyDescent="0.2">
      <c r="A68" s="31"/>
      <c r="B68" s="31"/>
      <c r="C68" s="31"/>
      <c r="D68" s="14"/>
      <c r="E68" s="14"/>
      <c r="F68" s="14"/>
      <c r="G68" s="14"/>
      <c r="H68" s="31"/>
      <c r="I68" s="14"/>
      <c r="J68" s="14"/>
      <c r="K68" s="14"/>
      <c r="L68" s="14"/>
      <c r="M68" s="31"/>
      <c r="N68" s="14"/>
      <c r="O68" s="14"/>
      <c r="P68" s="14"/>
    </row>
    <row r="69" spans="1:16" x14ac:dyDescent="0.2">
      <c r="A69" s="31"/>
      <c r="B69" s="31"/>
      <c r="C69" s="31"/>
      <c r="D69" s="14"/>
      <c r="E69" s="14"/>
      <c r="F69" s="14"/>
      <c r="G69" s="14"/>
      <c r="H69" s="31"/>
      <c r="I69" s="14"/>
      <c r="J69" s="14"/>
      <c r="K69" s="14"/>
      <c r="L69" s="14"/>
      <c r="M69" s="31"/>
      <c r="N69" s="14"/>
      <c r="O69" s="14"/>
      <c r="P69" s="14"/>
    </row>
    <row r="70" spans="1:16" x14ac:dyDescent="0.2">
      <c r="A70" s="31"/>
      <c r="B70" s="31"/>
      <c r="C70" s="31"/>
      <c r="H70" s="31"/>
      <c r="M70" s="31"/>
    </row>
    <row r="71" spans="1:16" x14ac:dyDescent="0.2">
      <c r="A71" s="31"/>
      <c r="B71" s="31"/>
      <c r="C71" s="31"/>
      <c r="H71" s="31"/>
      <c r="M71" s="31"/>
    </row>
    <row r="72" spans="1:16" x14ac:dyDescent="0.2">
      <c r="A72" s="31"/>
    </row>
    <row r="73" spans="1:16" x14ac:dyDescent="0.2">
      <c r="A73" s="31"/>
    </row>
    <row r="74" spans="1:16" x14ac:dyDescent="0.2">
      <c r="A74" s="31"/>
      <c r="B74" s="106" t="s">
        <v>21</v>
      </c>
      <c r="C74" s="106"/>
      <c r="D74" s="106"/>
      <c r="E74" s="106"/>
      <c r="F74" s="106"/>
      <c r="G74" s="106"/>
      <c r="H74" s="8" t="s">
        <v>22</v>
      </c>
      <c r="I74" s="8"/>
      <c r="J74" s="8" t="s">
        <v>23</v>
      </c>
      <c r="K74" s="8"/>
      <c r="M74" s="8"/>
      <c r="N74" s="8"/>
      <c r="O74" s="27"/>
    </row>
    <row r="75" spans="1:16" x14ac:dyDescent="0.2">
      <c r="A75" s="31"/>
      <c r="B75" s="29" t="s">
        <v>24</v>
      </c>
      <c r="C75" s="29" t="s">
        <v>25</v>
      </c>
      <c r="D75" s="29" t="s">
        <v>24</v>
      </c>
      <c r="E75" s="29" t="s">
        <v>25</v>
      </c>
      <c r="F75" s="29" t="s">
        <v>24</v>
      </c>
      <c r="G75" s="29" t="s">
        <v>25</v>
      </c>
      <c r="H75" s="29" t="s">
        <v>24</v>
      </c>
      <c r="I75" s="29" t="s">
        <v>25</v>
      </c>
      <c r="J75" s="29" t="s">
        <v>24</v>
      </c>
      <c r="K75" s="29" t="s">
        <v>25</v>
      </c>
      <c r="M75" s="29"/>
      <c r="N75" s="29"/>
      <c r="O75" s="29"/>
      <c r="P75" s="29"/>
    </row>
    <row r="76" spans="1:16" x14ac:dyDescent="0.2">
      <c r="B76" s="29" t="s">
        <v>26</v>
      </c>
      <c r="C76" s="29" t="s">
        <v>9</v>
      </c>
      <c r="D76" s="29" t="s">
        <v>26</v>
      </c>
      <c r="E76" s="29" t="s">
        <v>9</v>
      </c>
      <c r="F76" s="29" t="s">
        <v>26</v>
      </c>
      <c r="G76" s="29" t="s">
        <v>9</v>
      </c>
      <c r="H76" s="29" t="s">
        <v>26</v>
      </c>
      <c r="I76" s="29" t="s">
        <v>9</v>
      </c>
      <c r="J76" s="29" t="s">
        <v>26</v>
      </c>
      <c r="K76" s="29" t="s">
        <v>9</v>
      </c>
      <c r="M76" s="29"/>
      <c r="N76" s="29"/>
      <c r="O76" s="29"/>
      <c r="P76" s="29"/>
    </row>
    <row r="77" spans="1:16" x14ac:dyDescent="0.2">
      <c r="B77" s="45">
        <v>30.08</v>
      </c>
      <c r="C77" s="46">
        <v>804</v>
      </c>
      <c r="D77" s="45">
        <v>50.74</v>
      </c>
      <c r="E77" s="45">
        <v>1608</v>
      </c>
      <c r="F77" s="45">
        <v>60.96</v>
      </c>
      <c r="G77" s="45">
        <v>2046</v>
      </c>
      <c r="H77" s="46">
        <v>10.4</v>
      </c>
      <c r="I77" s="45">
        <v>198</v>
      </c>
      <c r="J77" s="45">
        <v>20</v>
      </c>
      <c r="K77" s="45">
        <v>469</v>
      </c>
      <c r="M77" s="46"/>
      <c r="N77" s="45"/>
      <c r="O77" s="45"/>
      <c r="P77" s="45"/>
    </row>
    <row r="78" spans="1:16" x14ac:dyDescent="0.2">
      <c r="B78" s="45">
        <v>30.26</v>
      </c>
      <c r="C78" s="45">
        <v>1063</v>
      </c>
      <c r="D78" s="45">
        <v>51.07</v>
      </c>
      <c r="E78" s="45">
        <v>1989</v>
      </c>
      <c r="F78" s="45">
        <v>61.83</v>
      </c>
      <c r="G78" s="45">
        <v>2501</v>
      </c>
      <c r="H78" s="45">
        <v>10.3</v>
      </c>
      <c r="I78" s="45">
        <v>300</v>
      </c>
      <c r="J78" s="45">
        <v>20.2</v>
      </c>
      <c r="K78" s="45">
        <v>657</v>
      </c>
      <c r="M78" s="45"/>
      <c r="N78" s="45"/>
      <c r="O78" s="45"/>
      <c r="P78" s="45"/>
    </row>
    <row r="79" spans="1:16" x14ac:dyDescent="0.2">
      <c r="B79" s="45">
        <v>29.67</v>
      </c>
      <c r="C79" s="45">
        <v>1196</v>
      </c>
      <c r="D79" s="45">
        <v>51.02</v>
      </c>
      <c r="E79" s="45">
        <v>2257</v>
      </c>
      <c r="F79" s="45">
        <v>61.5</v>
      </c>
      <c r="G79" s="45">
        <v>2801</v>
      </c>
      <c r="H79" s="45">
        <v>10.3</v>
      </c>
      <c r="I79" s="45">
        <v>354</v>
      </c>
      <c r="J79" s="45">
        <v>19.8</v>
      </c>
      <c r="K79" s="45">
        <v>744</v>
      </c>
      <c r="M79" s="45"/>
      <c r="N79" s="45"/>
      <c r="O79" s="45"/>
      <c r="P79" s="45"/>
    </row>
    <row r="80" spans="1:16" x14ac:dyDescent="0.2">
      <c r="B80" s="47"/>
      <c r="C80" s="47"/>
      <c r="D80" s="47"/>
      <c r="E80" s="47"/>
      <c r="F80" s="47"/>
      <c r="G80" s="47"/>
      <c r="H80" s="47"/>
      <c r="I80" s="47"/>
      <c r="J80" s="47"/>
      <c r="K80" s="47"/>
      <c r="M80" s="47"/>
      <c r="N80" s="47"/>
      <c r="O80" s="47"/>
      <c r="P80" s="47"/>
    </row>
    <row r="81" spans="2:27" x14ac:dyDescent="0.2">
      <c r="B81" s="47"/>
      <c r="C81" s="47"/>
      <c r="D81" s="47"/>
      <c r="E81" s="47"/>
      <c r="F81" s="47"/>
      <c r="G81" s="47"/>
      <c r="H81" s="47"/>
      <c r="I81" s="47"/>
      <c r="J81" s="47"/>
      <c r="K81" s="47"/>
      <c r="M81" s="47"/>
      <c r="N81" s="47"/>
      <c r="O81" s="47"/>
      <c r="P81" s="47"/>
    </row>
    <row r="82" spans="2:27" x14ac:dyDescent="0.2">
      <c r="B82" s="47"/>
      <c r="C82" s="47"/>
      <c r="D82" s="47"/>
      <c r="E82" s="47"/>
      <c r="F82" s="47"/>
      <c r="G82" s="47"/>
      <c r="H82" s="47"/>
      <c r="I82" s="47"/>
      <c r="J82" s="47"/>
      <c r="K82" s="47"/>
      <c r="M82" s="47"/>
      <c r="N82" s="47"/>
      <c r="O82" s="47"/>
      <c r="P82" s="47"/>
    </row>
    <row r="83" spans="2:27" x14ac:dyDescent="0.2">
      <c r="B83" s="45">
        <v>29.51</v>
      </c>
      <c r="C83" s="45">
        <v>1304</v>
      </c>
      <c r="D83" s="45">
        <v>50.93</v>
      </c>
      <c r="E83" s="45">
        <v>2679</v>
      </c>
      <c r="F83" s="45">
        <v>61.03</v>
      </c>
      <c r="G83" s="45">
        <v>3412</v>
      </c>
      <c r="H83" s="45">
        <v>10.1</v>
      </c>
      <c r="I83" s="45">
        <v>309</v>
      </c>
      <c r="J83" s="45">
        <v>20.100000000000001</v>
      </c>
      <c r="K83" s="45">
        <v>761</v>
      </c>
      <c r="M83" s="45"/>
      <c r="N83" s="45"/>
      <c r="O83" s="45"/>
      <c r="P83" s="45"/>
    </row>
    <row r="84" spans="2:27" x14ac:dyDescent="0.2">
      <c r="B84" s="45">
        <v>29.78</v>
      </c>
      <c r="C84" s="45">
        <v>1791</v>
      </c>
      <c r="D84" s="45">
        <v>50.61</v>
      </c>
      <c r="E84" s="45">
        <v>3386</v>
      </c>
      <c r="F84" s="45">
        <v>61.1</v>
      </c>
      <c r="G84" s="45">
        <v>4234</v>
      </c>
      <c r="H84" s="45">
        <v>10.09</v>
      </c>
      <c r="I84" s="45">
        <v>558</v>
      </c>
      <c r="J84" s="45">
        <v>20.2</v>
      </c>
      <c r="K84" s="45">
        <v>1122</v>
      </c>
      <c r="M84" s="45"/>
      <c r="N84" s="45"/>
      <c r="O84" s="45"/>
      <c r="P84" s="45"/>
    </row>
    <row r="85" spans="2:27" x14ac:dyDescent="0.2">
      <c r="B85" s="45">
        <v>29.86</v>
      </c>
      <c r="C85" s="45">
        <v>2133</v>
      </c>
      <c r="D85" s="45">
        <v>50.98</v>
      </c>
      <c r="E85" s="45">
        <v>3971</v>
      </c>
      <c r="F85" s="45">
        <v>61.94</v>
      </c>
      <c r="G85" s="45">
        <v>4939</v>
      </c>
      <c r="H85" s="45">
        <v>10.199999999999999</v>
      </c>
      <c r="I85" s="45">
        <v>645</v>
      </c>
      <c r="J85" s="45">
        <v>20.3</v>
      </c>
      <c r="K85" s="45">
        <v>1373</v>
      </c>
      <c r="M85" s="45"/>
      <c r="N85" s="45"/>
      <c r="O85" s="45"/>
      <c r="P85" s="45"/>
      <c r="AA85" s="7"/>
    </row>
    <row r="86" spans="2:27" x14ac:dyDescent="0.2">
      <c r="B86" s="47">
        <v>30.32</v>
      </c>
      <c r="C86" s="47">
        <v>839</v>
      </c>
      <c r="D86" s="47">
        <v>50.52</v>
      </c>
      <c r="E86" s="47">
        <v>1665</v>
      </c>
      <c r="F86" s="47">
        <v>62.28</v>
      </c>
      <c r="G86" s="47">
        <v>2195</v>
      </c>
      <c r="H86" s="47">
        <v>10.1</v>
      </c>
      <c r="I86" s="47">
        <v>199</v>
      </c>
      <c r="J86" s="47">
        <v>20.2</v>
      </c>
      <c r="K86" s="47">
        <v>491</v>
      </c>
      <c r="M86" s="47"/>
      <c r="N86" s="47"/>
      <c r="O86" s="47"/>
      <c r="P86" s="47"/>
      <c r="AA86" s="7"/>
    </row>
    <row r="87" spans="2:27" x14ac:dyDescent="0.2">
      <c r="B87" s="47">
        <v>29.66</v>
      </c>
      <c r="C87" s="47">
        <v>1076</v>
      </c>
      <c r="D87" s="47">
        <v>50.92</v>
      </c>
      <c r="E87" s="47">
        <v>2056</v>
      </c>
      <c r="F87" s="47">
        <v>61.46</v>
      </c>
      <c r="G87" s="47">
        <v>2566</v>
      </c>
      <c r="H87" s="47">
        <v>10.199999999999999</v>
      </c>
      <c r="I87" s="47">
        <v>307</v>
      </c>
      <c r="J87" s="47">
        <v>20.3</v>
      </c>
      <c r="K87" s="47">
        <v>695</v>
      </c>
      <c r="M87" s="47"/>
      <c r="N87" s="47"/>
      <c r="O87" s="47"/>
      <c r="P87" s="47"/>
      <c r="AA87" s="7"/>
    </row>
    <row r="88" spans="2:27" x14ac:dyDescent="0.2">
      <c r="B88" s="47">
        <v>29.66</v>
      </c>
      <c r="C88" s="47">
        <v>1243</v>
      </c>
      <c r="D88" s="47">
        <v>49.95</v>
      </c>
      <c r="E88" s="47">
        <v>2290</v>
      </c>
      <c r="F88" s="47">
        <v>61.19</v>
      </c>
      <c r="G88" s="47">
        <v>2896</v>
      </c>
      <c r="H88" s="47">
        <v>10.3</v>
      </c>
      <c r="I88" s="47">
        <v>369</v>
      </c>
      <c r="J88" s="47">
        <v>20.100000000000001</v>
      </c>
      <c r="K88" s="47">
        <v>795</v>
      </c>
      <c r="M88" s="47"/>
      <c r="N88" s="47"/>
      <c r="O88" s="47"/>
      <c r="P88" s="47"/>
    </row>
    <row r="89" spans="2:27" x14ac:dyDescent="0.2">
      <c r="B89" s="45"/>
      <c r="C89" s="45"/>
      <c r="D89" s="45"/>
      <c r="E89" s="45"/>
      <c r="F89" s="45"/>
      <c r="G89" s="45"/>
      <c r="H89" s="45"/>
      <c r="I89" s="45"/>
      <c r="J89" s="45"/>
      <c r="K89" s="45"/>
      <c r="M89" s="45"/>
      <c r="N89" s="45"/>
      <c r="O89" s="45"/>
      <c r="P89" s="45"/>
    </row>
    <row r="90" spans="2:27" x14ac:dyDescent="0.2">
      <c r="B90" s="45"/>
      <c r="C90" s="45"/>
      <c r="D90" s="45"/>
      <c r="E90" s="45"/>
      <c r="F90" s="45"/>
      <c r="G90" s="45"/>
      <c r="H90" s="45"/>
      <c r="I90" s="45"/>
      <c r="J90" s="45"/>
      <c r="K90" s="45"/>
      <c r="M90" s="45"/>
      <c r="N90" s="45"/>
      <c r="O90" s="45"/>
      <c r="P90" s="45"/>
    </row>
    <row r="91" spans="2:27" x14ac:dyDescent="0.2">
      <c r="B91" s="45"/>
      <c r="C91" s="45"/>
      <c r="D91" s="45"/>
      <c r="E91" s="45"/>
      <c r="F91" s="45"/>
      <c r="G91" s="45"/>
      <c r="H91" s="45"/>
      <c r="I91" s="45"/>
      <c r="J91" s="45"/>
      <c r="K91" s="45"/>
      <c r="M91" s="45"/>
      <c r="N91" s="45"/>
      <c r="O91" s="45"/>
      <c r="P91" s="45"/>
    </row>
    <row r="92" spans="2:27" x14ac:dyDescent="0.2">
      <c r="B92" s="28">
        <v>30.4</v>
      </c>
      <c r="C92" s="28">
        <v>1386</v>
      </c>
      <c r="D92" s="28">
        <v>51.16</v>
      </c>
      <c r="E92" s="28">
        <v>2809</v>
      </c>
      <c r="F92" s="28">
        <v>62.19</v>
      </c>
      <c r="G92" s="28">
        <v>3640</v>
      </c>
      <c r="H92" s="28">
        <v>11.1</v>
      </c>
      <c r="I92" s="28">
        <v>354</v>
      </c>
      <c r="J92" s="28">
        <v>19.600000000000001</v>
      </c>
      <c r="K92" s="28">
        <v>775</v>
      </c>
      <c r="M92" s="28"/>
      <c r="N92" s="28"/>
      <c r="O92" s="28"/>
      <c r="P92" s="28"/>
    </row>
    <row r="93" spans="2:27" x14ac:dyDescent="0.2">
      <c r="B93" s="28">
        <v>30.01</v>
      </c>
      <c r="C93" s="28">
        <v>1876</v>
      </c>
      <c r="D93" s="28">
        <v>51.1</v>
      </c>
      <c r="E93" s="28">
        <v>3548</v>
      </c>
      <c r="F93" s="28">
        <v>61.67</v>
      </c>
      <c r="G93" s="28">
        <v>4448</v>
      </c>
      <c r="H93" s="28">
        <v>10.5</v>
      </c>
      <c r="I93" s="28">
        <v>547</v>
      </c>
      <c r="J93" s="28">
        <v>19.8</v>
      </c>
      <c r="K93" s="28">
        <v>1140</v>
      </c>
      <c r="M93" s="28"/>
      <c r="N93" s="28"/>
      <c r="O93" s="28"/>
      <c r="P93" s="28"/>
    </row>
    <row r="94" spans="2:27" x14ac:dyDescent="0.2">
      <c r="B94" s="28">
        <v>30.1</v>
      </c>
      <c r="C94" s="28">
        <v>2232</v>
      </c>
      <c r="D94" s="28">
        <v>51.07</v>
      </c>
      <c r="E94" s="28">
        <v>4128</v>
      </c>
      <c r="F94" s="28">
        <v>61.62</v>
      </c>
      <c r="G94" s="28">
        <v>5116</v>
      </c>
      <c r="H94" s="28">
        <v>10.4</v>
      </c>
      <c r="I94" s="28">
        <v>678</v>
      </c>
      <c r="J94" s="28">
        <v>20.2</v>
      </c>
      <c r="K94" s="28">
        <v>1420</v>
      </c>
      <c r="M94" s="28"/>
      <c r="N94" s="28"/>
      <c r="O94" s="28"/>
      <c r="P94" s="28"/>
    </row>
    <row r="95" spans="2:27" x14ac:dyDescent="0.2">
      <c r="B95" s="45">
        <v>30.07</v>
      </c>
      <c r="C95" s="45">
        <v>886</v>
      </c>
      <c r="D95" s="45">
        <v>51.18</v>
      </c>
      <c r="E95" s="45">
        <v>1803</v>
      </c>
      <c r="F95" s="45">
        <v>61.76</v>
      </c>
      <c r="G95" s="45">
        <v>2298</v>
      </c>
      <c r="H95" s="45">
        <v>10.5</v>
      </c>
      <c r="I95" s="45">
        <v>223</v>
      </c>
      <c r="J95" s="45">
        <v>20.2</v>
      </c>
      <c r="K95" s="45">
        <v>523</v>
      </c>
      <c r="M95" s="45"/>
      <c r="N95" s="45"/>
      <c r="O95" s="45"/>
      <c r="P95" s="45"/>
    </row>
    <row r="96" spans="2:27" x14ac:dyDescent="0.2">
      <c r="B96" s="45">
        <v>29.65</v>
      </c>
      <c r="C96" s="45">
        <v>1133</v>
      </c>
      <c r="D96" s="45">
        <v>50.62</v>
      </c>
      <c r="E96" s="45">
        <v>2155</v>
      </c>
      <c r="F96" s="45">
        <v>61.45</v>
      </c>
      <c r="G96" s="45">
        <v>2703</v>
      </c>
      <c r="H96" s="45">
        <v>10.3</v>
      </c>
      <c r="I96" s="45">
        <v>323</v>
      </c>
      <c r="J96" s="45">
        <v>20</v>
      </c>
      <c r="K96" s="45">
        <v>706</v>
      </c>
      <c r="M96" s="45"/>
      <c r="N96" s="45"/>
      <c r="O96" s="45"/>
      <c r="P96" s="45"/>
    </row>
    <row r="97" spans="2:16" x14ac:dyDescent="0.2">
      <c r="B97" s="45">
        <v>29.51</v>
      </c>
      <c r="C97" s="45">
        <v>1281</v>
      </c>
      <c r="D97" s="45">
        <v>50.6</v>
      </c>
      <c r="E97" s="45">
        <v>2422</v>
      </c>
      <c r="F97" s="45">
        <v>61.92</v>
      </c>
      <c r="G97" s="45">
        <v>3071</v>
      </c>
      <c r="H97" s="45">
        <v>10.7</v>
      </c>
      <c r="I97" s="45">
        <v>390</v>
      </c>
      <c r="J97" s="45">
        <v>19.8</v>
      </c>
      <c r="K97" s="45">
        <v>801</v>
      </c>
      <c r="M97" s="45"/>
      <c r="N97" s="45"/>
      <c r="O97" s="45"/>
      <c r="P97" s="45"/>
    </row>
    <row r="98" spans="2:16" x14ac:dyDescent="0.2">
      <c r="B98" s="22"/>
      <c r="C98" s="22"/>
      <c r="D98" s="22"/>
      <c r="E98" s="22"/>
      <c r="F98" s="22"/>
      <c r="G98" s="22"/>
      <c r="H98" s="22"/>
      <c r="I98" s="22"/>
      <c r="J98" s="22"/>
      <c r="K98" s="22"/>
      <c r="M98" s="22"/>
      <c r="N98" s="22"/>
      <c r="O98" s="22"/>
      <c r="P98" s="22"/>
    </row>
    <row r="99" spans="2:16" x14ac:dyDescent="0.2">
      <c r="B99" s="22"/>
      <c r="C99" s="22"/>
      <c r="D99" s="22"/>
      <c r="E99" s="22"/>
      <c r="F99" s="22"/>
      <c r="G99" s="22"/>
      <c r="H99" s="22"/>
      <c r="I99" s="22"/>
      <c r="J99" s="22"/>
      <c r="K99" s="22"/>
      <c r="M99" s="22"/>
      <c r="N99" s="22"/>
      <c r="O99" s="22"/>
      <c r="P99" s="22"/>
    </row>
    <row r="100" spans="2:16" x14ac:dyDescent="0.2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M100" s="22"/>
      <c r="N100" s="22"/>
      <c r="O100" s="22"/>
      <c r="P100" s="22"/>
    </row>
    <row r="101" spans="2:16" x14ac:dyDescent="0.2">
      <c r="B101" s="45">
        <v>30.2</v>
      </c>
      <c r="C101" s="45">
        <v>1452</v>
      </c>
      <c r="D101" s="45">
        <v>51.16</v>
      </c>
      <c r="E101" s="45">
        <v>2966</v>
      </c>
      <c r="F101" s="45">
        <v>61.17</v>
      </c>
      <c r="G101" s="45">
        <v>3755</v>
      </c>
      <c r="H101" s="45">
        <v>10.7</v>
      </c>
      <c r="I101" s="45">
        <v>355</v>
      </c>
      <c r="J101" s="45">
        <v>19.899999999999999</v>
      </c>
      <c r="K101" s="45">
        <v>829</v>
      </c>
      <c r="M101" s="45"/>
      <c r="N101" s="45"/>
      <c r="O101" s="45"/>
      <c r="P101" s="45"/>
    </row>
    <row r="102" spans="2:16" x14ac:dyDescent="0.2">
      <c r="B102" s="45">
        <v>29.61</v>
      </c>
      <c r="C102" s="45">
        <v>1906</v>
      </c>
      <c r="D102" s="45">
        <v>50.93</v>
      </c>
      <c r="E102" s="45">
        <v>3668</v>
      </c>
      <c r="F102" s="45">
        <v>61.51</v>
      </c>
      <c r="G102" s="45">
        <v>4604</v>
      </c>
      <c r="H102" s="45">
        <v>10.3</v>
      </c>
      <c r="I102" s="45">
        <v>551</v>
      </c>
      <c r="J102" s="45">
        <v>19.8</v>
      </c>
      <c r="K102" s="45">
        <v>1179</v>
      </c>
      <c r="M102" s="45"/>
      <c r="N102" s="45"/>
      <c r="O102" s="45"/>
      <c r="P102" s="45"/>
    </row>
    <row r="103" spans="2:16" x14ac:dyDescent="0.2">
      <c r="B103" s="45">
        <v>29.99</v>
      </c>
      <c r="C103" s="45">
        <v>2275</v>
      </c>
      <c r="D103" s="45">
        <v>51.17</v>
      </c>
      <c r="E103" s="45">
        <v>4267</v>
      </c>
      <c r="F103" s="45">
        <v>61.59</v>
      </c>
      <c r="G103" s="45">
        <v>5261</v>
      </c>
      <c r="H103" s="45">
        <v>10.3</v>
      </c>
      <c r="I103" s="45">
        <v>682</v>
      </c>
      <c r="J103" s="45">
        <v>19.7</v>
      </c>
      <c r="K103" s="45">
        <v>1408</v>
      </c>
      <c r="M103" s="45"/>
      <c r="N103" s="45"/>
      <c r="O103" s="45"/>
      <c r="P103" s="45"/>
    </row>
    <row r="104" spans="2:16" x14ac:dyDescent="0.2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M104" s="14"/>
      <c r="N104" s="14"/>
      <c r="O104" s="14"/>
      <c r="P104" s="14"/>
    </row>
    <row r="105" spans="2:16" x14ac:dyDescent="0.2">
      <c r="B105" s="31"/>
      <c r="C105" s="31"/>
      <c r="D105" s="31"/>
      <c r="E105" s="14"/>
      <c r="F105" s="14"/>
      <c r="G105" s="14"/>
      <c r="H105" s="31"/>
      <c r="I105" s="31"/>
      <c r="J105" s="14"/>
      <c r="K105" s="14"/>
      <c r="M105" s="31"/>
      <c r="N105" s="31"/>
      <c r="O105" s="14"/>
      <c r="P105" s="14"/>
    </row>
    <row r="106" spans="2:16" x14ac:dyDescent="0.2">
      <c r="B106" s="31"/>
      <c r="C106" s="31"/>
      <c r="D106" s="31"/>
      <c r="E106" s="14"/>
      <c r="F106" s="14"/>
      <c r="G106" s="14"/>
      <c r="H106" s="31"/>
      <c r="I106" s="31"/>
      <c r="J106" s="14"/>
      <c r="K106" s="14"/>
      <c r="M106" s="31"/>
      <c r="N106" s="31"/>
      <c r="O106" s="14"/>
      <c r="P106" s="14"/>
    </row>
    <row r="107" spans="2:16" x14ac:dyDescent="0.2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M107" s="14"/>
      <c r="N107" s="14"/>
      <c r="O107" s="14"/>
      <c r="P107" s="14"/>
    </row>
  </sheetData>
  <sheetProtection selectLockedCells="1"/>
  <mergeCells count="10">
    <mergeCell ref="Z4:AA4"/>
    <mergeCell ref="C24:H24"/>
    <mergeCell ref="B22:H22"/>
    <mergeCell ref="B74:G74"/>
    <mergeCell ref="C12:D12"/>
    <mergeCell ref="H12:I12"/>
    <mergeCell ref="M12:N12"/>
    <mergeCell ref="C25:D25"/>
    <mergeCell ref="E25:F25"/>
    <mergeCell ref="G25:H25"/>
  </mergeCells>
  <phoneticPr fontId="11" type="noConversion"/>
  <printOptions horizontalCentered="1" gridLinesSet="0"/>
  <pageMargins left="0.31496062992125984" right="0.31496062992125984" top="1.1811023622047245" bottom="0.78740157480314965" header="0.11811023622047245" footer="0.11811023622047245"/>
  <pageSetup paperSize="9" orientation="landscape" r:id="rId1"/>
  <headerFooter alignWithMargins="0">
    <oddHeader>&amp;L&amp;G</oddHeader>
    <oddFooter>&amp;L&amp;D / &amp;T
&amp;6&amp;A
&amp;F&amp;CSeite &amp;P von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74989-B2AA-4A95-8AF9-E0C24CB49868}">
  <sheetPr>
    <tabColor theme="5"/>
  </sheetPr>
  <dimension ref="A1:AL42"/>
  <sheetViews>
    <sheetView showGridLines="0" zoomScale="115" zoomScaleNormal="115" zoomScaleSheetLayoutView="85" workbookViewId="0">
      <selection activeCell="V21" sqref="V21"/>
    </sheetView>
  </sheetViews>
  <sheetFormatPr baseColWidth="10" defaultColWidth="11.5703125" defaultRowHeight="12.75" x14ac:dyDescent="0.2"/>
  <cols>
    <col min="1" max="6" width="9.7109375" style="2" customWidth="1"/>
    <col min="7" max="7" width="12.140625" style="2" bestFit="1" customWidth="1"/>
    <col min="8" max="8" width="11.85546875" style="2" bestFit="1" customWidth="1"/>
    <col min="9" max="9" width="8.140625" style="2" bestFit="1" customWidth="1"/>
    <col min="10" max="11" width="9.7109375" style="2" customWidth="1"/>
    <col min="12" max="21" width="10.7109375" style="2" customWidth="1"/>
    <col min="22" max="24" width="9.7109375" style="2" customWidth="1"/>
    <col min="25" max="25" width="13.28515625" style="3" customWidth="1"/>
    <col min="26" max="26" width="15.7109375" style="3" customWidth="1"/>
    <col min="27" max="28" width="8.28515625" style="2" customWidth="1"/>
    <col min="29" max="29" width="10.42578125" style="2" bestFit="1" customWidth="1"/>
    <col min="30" max="35" width="8.28515625" style="2" customWidth="1"/>
    <col min="36" max="36" width="13.28515625" style="2" customWidth="1"/>
    <col min="37" max="37" width="8.28515625" style="2" customWidth="1"/>
    <col min="38" max="38" width="13.28515625" style="2" customWidth="1"/>
    <col min="39" max="39" width="14.140625" style="2" bestFit="1" customWidth="1"/>
    <col min="40" max="48" width="7.7109375" style="2" customWidth="1"/>
    <col min="49" max="49" width="10.7109375" style="2" bestFit="1" customWidth="1"/>
    <col min="50" max="50" width="7.7109375" style="2" customWidth="1"/>
    <col min="51" max="51" width="18.28515625" style="2" customWidth="1"/>
    <col min="52" max="52" width="11.5703125" style="2"/>
    <col min="53" max="53" width="10.5703125" style="2" bestFit="1" customWidth="1"/>
    <col min="54" max="54" width="9.140625" style="2" bestFit="1" customWidth="1"/>
    <col min="55" max="55" width="11.140625" style="2" customWidth="1"/>
    <col min="56" max="56" width="9.5703125" style="2" bestFit="1" customWidth="1"/>
    <col min="57" max="57" width="13" style="2" bestFit="1" customWidth="1"/>
    <col min="58" max="59" width="8.7109375" style="2" bestFit="1" customWidth="1"/>
    <col min="60" max="60" width="8.7109375" style="2" customWidth="1"/>
    <col min="61" max="62" width="8.7109375" style="2" bestFit="1" customWidth="1"/>
    <col min="63" max="16384" width="11.5703125" style="2"/>
  </cols>
  <sheetData>
    <row r="1" spans="1:38" ht="20.25" x14ac:dyDescent="0.3">
      <c r="A1" s="1" t="s">
        <v>27</v>
      </c>
      <c r="B1" s="1"/>
      <c r="C1" s="1"/>
      <c r="M1" s="1" t="s">
        <v>28</v>
      </c>
    </row>
    <row r="2" spans="1:38" ht="20.25" x14ac:dyDescent="0.3">
      <c r="E2" s="4"/>
      <c r="F2" s="4"/>
      <c r="G2" s="4"/>
      <c r="H2" s="4"/>
      <c r="I2" s="4"/>
      <c r="J2" s="4"/>
      <c r="K2" s="4"/>
      <c r="Y2" s="2"/>
      <c r="Z2" s="56" t="s">
        <v>29</v>
      </c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1"/>
      <c r="AL2" s="1"/>
    </row>
    <row r="3" spans="1:38" ht="13.5" customHeight="1" x14ac:dyDescent="0.2">
      <c r="A3" s="2" t="s">
        <v>30</v>
      </c>
      <c r="E3" s="4"/>
      <c r="F3" s="4"/>
      <c r="G3" s="4"/>
      <c r="H3" s="4"/>
      <c r="I3" s="4"/>
      <c r="J3" s="4"/>
      <c r="K3" s="4"/>
      <c r="M3" s="6" t="s">
        <v>31</v>
      </c>
      <c r="N3" s="6"/>
      <c r="O3" s="6"/>
      <c r="Q3" s="4"/>
      <c r="R3" s="4"/>
      <c r="S3" s="4"/>
      <c r="T3" s="4"/>
      <c r="Y3" s="2"/>
      <c r="Z3" s="2"/>
    </row>
    <row r="4" spans="1:38" x14ac:dyDescent="0.2">
      <c r="A4" s="2" t="s">
        <v>32</v>
      </c>
      <c r="E4" s="4"/>
      <c r="F4" s="4"/>
      <c r="G4" s="4"/>
      <c r="H4" s="4"/>
      <c r="I4" s="4"/>
      <c r="J4" s="4"/>
      <c r="K4" s="4"/>
      <c r="M4" s="6" t="s">
        <v>33</v>
      </c>
      <c r="N4" s="6"/>
      <c r="O4" s="6"/>
      <c r="Q4" s="4"/>
      <c r="R4" s="4"/>
      <c r="S4" s="4"/>
      <c r="T4" s="4"/>
      <c r="Y4" s="2"/>
      <c r="Z4" s="38" t="s">
        <v>12</v>
      </c>
      <c r="AA4" s="119">
        <v>500</v>
      </c>
      <c r="AB4" s="120"/>
      <c r="AC4" s="23"/>
      <c r="AD4" s="4"/>
    </row>
    <row r="5" spans="1:38" ht="13.5" customHeight="1" x14ac:dyDescent="0.3">
      <c r="E5" s="4"/>
      <c r="F5" s="4"/>
      <c r="G5" s="4"/>
      <c r="H5" s="4"/>
      <c r="I5" s="4"/>
      <c r="J5" s="4"/>
      <c r="K5" s="4"/>
      <c r="M5" s="32">
        <f>IF('ULOW E PURMO_Radson Heating'!B7&gt;M6,'ULOW E PURMO_Radson Heating'!B7,"")</f>
        <v>45</v>
      </c>
      <c r="N5" s="15" t="s">
        <v>7</v>
      </c>
      <c r="O5" s="4"/>
      <c r="Q5" s="19" t="s">
        <v>34</v>
      </c>
      <c r="R5" s="19" t="s">
        <v>35</v>
      </c>
      <c r="S5" s="5" t="s">
        <v>36</v>
      </c>
      <c r="T5" s="5" t="s">
        <v>37</v>
      </c>
      <c r="U5" s="19" t="s">
        <v>15</v>
      </c>
      <c r="Y5" s="2"/>
      <c r="Z5" s="38" t="s">
        <v>13</v>
      </c>
      <c r="AA5" s="33" t="s">
        <v>38</v>
      </c>
      <c r="AB5" s="33" t="s">
        <v>6</v>
      </c>
      <c r="AC5" s="38" t="s">
        <v>14</v>
      </c>
      <c r="AD5" s="38" t="s">
        <v>15</v>
      </c>
    </row>
    <row r="6" spans="1:38" x14ac:dyDescent="0.2">
      <c r="A6" s="2">
        <v>75</v>
      </c>
      <c r="B6" s="4" t="s">
        <v>39</v>
      </c>
      <c r="C6" s="4" t="s">
        <v>40</v>
      </c>
      <c r="D6" s="4" t="s">
        <v>41</v>
      </c>
      <c r="E6" s="19" t="s">
        <v>36</v>
      </c>
      <c r="G6" s="4"/>
      <c r="H6" s="4"/>
      <c r="I6" s="4"/>
      <c r="M6" s="32">
        <f>IF('ULOW E PURMO_Radson Heating'!B7&lt;=M7,"",'ULOW E PURMO_Radson Heating'!B8)</f>
        <v>35</v>
      </c>
      <c r="N6" s="15" t="s">
        <v>10</v>
      </c>
      <c r="O6" s="4"/>
      <c r="P6" s="7"/>
      <c r="Q6" s="4" t="str">
        <f>IF((M5+M6)/2-M7&lt;30,"",(M5+M6)/2-M7)</f>
        <v/>
      </c>
      <c r="R6" s="5" t="str">
        <f>IF(Q6="","",(M5-M6)/LN((M5-M7)/(M6-M7)))</f>
        <v/>
      </c>
      <c r="S6" s="5">
        <f>(M6-M7)/(M5-M7)</f>
        <v>0.6</v>
      </c>
      <c r="T6" s="12" t="str">
        <f>IFERROR(IF(S6&lt;0.7,R6/D7,Q6/C7),"")</f>
        <v/>
      </c>
      <c r="U6" s="4" t="str">
        <f>IF(S6&lt;0.7,"log.","arith.")</f>
        <v>log.</v>
      </c>
      <c r="Y6" s="2"/>
      <c r="Z6" s="38" t="s">
        <v>17</v>
      </c>
      <c r="AA6" s="33" t="s">
        <v>9</v>
      </c>
      <c r="AB6" s="33" t="s">
        <v>9</v>
      </c>
      <c r="AC6" s="38" t="s">
        <v>18</v>
      </c>
      <c r="AD6" s="39"/>
    </row>
    <row r="7" spans="1:38" x14ac:dyDescent="0.2">
      <c r="A7" s="2">
        <v>65</v>
      </c>
      <c r="B7" s="4" t="s">
        <v>39</v>
      </c>
      <c r="C7" s="4">
        <f>IF(D11="","",(A6+A7)/2-A8)</f>
        <v>50</v>
      </c>
      <c r="D7" s="5">
        <f>IF(C7="","",(A6-A7)/LN((A6-A8)/(A7-A8)))</f>
        <v>49.83288654563971</v>
      </c>
      <c r="E7" s="2">
        <f>(A7-A8)/(A6-A8)</f>
        <v>0.81818181818181823</v>
      </c>
      <c r="G7" s="4"/>
      <c r="H7" s="4"/>
      <c r="I7" s="5"/>
      <c r="M7" s="32">
        <f>'ULOW E PURMO_Radson Heating'!B9</f>
        <v>20</v>
      </c>
      <c r="N7" s="15" t="s">
        <v>11</v>
      </c>
      <c r="Q7" s="4"/>
      <c r="R7" s="5"/>
      <c r="S7" s="4"/>
      <c r="T7" s="4"/>
      <c r="U7" s="4"/>
      <c r="Y7" s="2"/>
      <c r="Z7" s="39">
        <v>1000</v>
      </c>
      <c r="AA7" s="40" t="str">
        <f>IFERROR(ROUND(G18*$T$6^AA$8,0),"")</f>
        <v/>
      </c>
      <c r="AB7" s="40" t="str">
        <f>IFERROR(ROUND(G19*$T$6^AB$8,0),"")</f>
        <v/>
      </c>
      <c r="AC7" s="39" t="str">
        <f>IF(T6="","",(M5&amp;"/"&amp;M6&amp;"/"&amp;M7&amp;" °C"))</f>
        <v/>
      </c>
      <c r="AD7" s="39" t="str">
        <f>U6</f>
        <v>log.</v>
      </c>
    </row>
    <row r="8" spans="1:38" x14ac:dyDescent="0.2">
      <c r="A8" s="2">
        <v>20</v>
      </c>
      <c r="B8" s="4" t="s">
        <v>39</v>
      </c>
      <c r="C8" s="4"/>
      <c r="D8" s="4"/>
      <c r="E8" s="4"/>
      <c r="G8" s="4"/>
      <c r="H8" s="4"/>
      <c r="I8" s="4"/>
      <c r="M8" s="24"/>
      <c r="N8" s="24"/>
      <c r="O8" s="24"/>
      <c r="Q8" s="4"/>
      <c r="R8" s="4"/>
      <c r="S8" s="4"/>
      <c r="T8" s="4"/>
      <c r="U8" s="4"/>
      <c r="Y8" s="2"/>
      <c r="Z8" s="38" t="s">
        <v>19</v>
      </c>
      <c r="AA8" s="34" t="str">
        <f>IF(AND(T6="",T12="",T18=""),"",F18)</f>
        <v/>
      </c>
      <c r="AB8" s="34" t="str">
        <f>IF(AND(T6="",T12="",T18=""),"",F19)</f>
        <v/>
      </c>
      <c r="AC8" s="4"/>
      <c r="AD8" s="4"/>
    </row>
    <row r="9" spans="1:38" x14ac:dyDescent="0.2">
      <c r="A9" s="6" t="s">
        <v>42</v>
      </c>
      <c r="B9" s="6"/>
      <c r="C9" s="6"/>
      <c r="E9" s="4"/>
      <c r="F9" s="4"/>
      <c r="G9" s="4"/>
      <c r="H9" s="4"/>
      <c r="I9" s="4"/>
      <c r="J9" s="4"/>
      <c r="K9" s="4"/>
      <c r="M9" s="6"/>
      <c r="N9" s="6"/>
      <c r="O9" s="6"/>
      <c r="Q9" s="4"/>
      <c r="R9" s="4"/>
      <c r="S9" s="4"/>
      <c r="T9" s="4"/>
      <c r="U9" s="4"/>
      <c r="Y9" s="2"/>
      <c r="Z9" s="2"/>
    </row>
    <row r="10" spans="1:38" x14ac:dyDescent="0.2">
      <c r="A10" s="32">
        <v>75</v>
      </c>
      <c r="B10" s="15" t="s">
        <v>43</v>
      </c>
      <c r="C10" s="4"/>
      <c r="D10" s="4" t="s">
        <v>44</v>
      </c>
      <c r="E10" s="4" t="s">
        <v>41</v>
      </c>
      <c r="F10" s="5" t="s">
        <v>36</v>
      </c>
      <c r="G10" s="5" t="s">
        <v>45</v>
      </c>
      <c r="H10" s="5"/>
      <c r="I10" s="5"/>
      <c r="J10" s="5"/>
      <c r="K10" s="5"/>
      <c r="M10" s="6"/>
      <c r="N10" s="6"/>
      <c r="O10" s="6"/>
      <c r="Q10" s="4"/>
      <c r="R10" s="4"/>
      <c r="S10" s="4"/>
      <c r="T10" s="4"/>
      <c r="U10" s="4"/>
      <c r="Y10" s="2"/>
      <c r="Z10" s="38" t="s">
        <v>12</v>
      </c>
      <c r="AA10" s="119">
        <v>600</v>
      </c>
      <c r="AB10" s="120"/>
      <c r="AC10" s="23"/>
      <c r="AD10" s="4"/>
    </row>
    <row r="11" spans="1:38" x14ac:dyDescent="0.2">
      <c r="A11" s="32">
        <v>65</v>
      </c>
      <c r="B11" s="15" t="s">
        <v>46</v>
      </c>
      <c r="C11" s="4"/>
      <c r="D11" s="4">
        <f>IF(((A10+A11)/2-A12)&lt;30,"",(A10+A11)/2-A12)</f>
        <v>50</v>
      </c>
      <c r="E11" s="5">
        <f>IF(D11="","",(A10-A11)/LN((A10-A12)/(A11-A12)))</f>
        <v>49.83288654563971</v>
      </c>
      <c r="F11" s="5">
        <f>(A11-A12)/(A10-A12)</f>
        <v>0.81818181818181823</v>
      </c>
      <c r="G11" s="12">
        <f>IFERROR(IF(F11&lt;0.7,E11/D7,D11/C7),"")</f>
        <v>1</v>
      </c>
      <c r="H11" s="12"/>
      <c r="I11" s="12"/>
      <c r="J11" s="12"/>
      <c r="K11" s="12"/>
      <c r="M11" s="6"/>
      <c r="N11" s="15"/>
      <c r="O11" s="4"/>
      <c r="Q11" s="19"/>
      <c r="R11" s="19"/>
      <c r="S11" s="5"/>
      <c r="T11" s="5"/>
      <c r="U11" s="19"/>
      <c r="Y11" s="2"/>
      <c r="Z11" s="38" t="s">
        <v>13</v>
      </c>
      <c r="AA11" s="33" t="s">
        <v>38</v>
      </c>
      <c r="AB11" s="33" t="s">
        <v>6</v>
      </c>
      <c r="AC11" s="38" t="s">
        <v>14</v>
      </c>
      <c r="AD11" s="38" t="s">
        <v>15</v>
      </c>
    </row>
    <row r="12" spans="1:38" x14ac:dyDescent="0.2">
      <c r="A12" s="32">
        <v>20</v>
      </c>
      <c r="B12" s="15" t="s">
        <v>47</v>
      </c>
      <c r="F12" s="3"/>
      <c r="M12" s="4"/>
      <c r="N12" s="15"/>
      <c r="O12" s="4"/>
      <c r="P12" s="7"/>
      <c r="Q12" s="4"/>
      <c r="R12" s="5"/>
      <c r="S12" s="5"/>
      <c r="T12" s="12"/>
      <c r="U12" s="4"/>
      <c r="Y12" s="2"/>
      <c r="Z12" s="38" t="s">
        <v>17</v>
      </c>
      <c r="AA12" s="33" t="s">
        <v>9</v>
      </c>
      <c r="AB12" s="33" t="s">
        <v>9</v>
      </c>
      <c r="AC12" s="38" t="s">
        <v>18</v>
      </c>
      <c r="AD12" s="39"/>
    </row>
    <row r="13" spans="1:38" x14ac:dyDescent="0.2">
      <c r="A13" s="24"/>
      <c r="B13" s="24"/>
      <c r="C13" s="24"/>
      <c r="M13" s="4"/>
      <c r="N13" s="15"/>
      <c r="Q13" s="4"/>
      <c r="R13" s="5"/>
      <c r="S13" s="4"/>
      <c r="T13" s="4"/>
      <c r="V13" s="4"/>
      <c r="Y13" s="8"/>
      <c r="Z13" s="39">
        <v>1000</v>
      </c>
      <c r="AA13" s="40" t="str">
        <f>IFERROR(ROUND(G20*$T$6^AA$14,0),"")</f>
        <v/>
      </c>
      <c r="AB13" s="40" t="str">
        <f>IFERROR(ROUND(G21*$T$6^AB$14,0),"")</f>
        <v/>
      </c>
      <c r="AC13" s="39" t="str">
        <f>IF(T6="","",(M5&amp;"/"&amp;M6&amp;"/"&amp;M7&amp;" °C"))</f>
        <v/>
      </c>
      <c r="AD13" s="39" t="str">
        <f>U6</f>
        <v>log.</v>
      </c>
    </row>
    <row r="14" spans="1:38" x14ac:dyDescent="0.2">
      <c r="J14" s="15" t="s">
        <v>48</v>
      </c>
      <c r="K14" s="15"/>
      <c r="M14" s="6"/>
      <c r="Q14" s="4"/>
      <c r="R14" s="4"/>
      <c r="S14" s="4"/>
      <c r="T14" s="4"/>
      <c r="V14" s="4"/>
      <c r="Y14" s="5"/>
      <c r="Z14" s="38" t="s">
        <v>19</v>
      </c>
      <c r="AA14" s="34" t="str">
        <f>IF(AND(T6="",T12="",T18=""),"",F20)</f>
        <v/>
      </c>
      <c r="AB14" s="34" t="str">
        <f>IF(AND(T6="",T12="",T18=""),"",F21)</f>
        <v/>
      </c>
      <c r="AC14" s="4"/>
      <c r="AD14" s="4"/>
      <c r="AE14" s="7"/>
    </row>
    <row r="15" spans="1:38" x14ac:dyDescent="0.2">
      <c r="A15" s="19" t="s">
        <v>1</v>
      </c>
      <c r="B15" s="8" t="s">
        <v>49</v>
      </c>
      <c r="C15" s="8" t="s">
        <v>50</v>
      </c>
      <c r="D15" s="19" t="s">
        <v>51</v>
      </c>
      <c r="E15" s="19"/>
      <c r="F15" s="8" t="s">
        <v>19</v>
      </c>
      <c r="G15" s="9" t="s">
        <v>52</v>
      </c>
      <c r="H15" s="8" t="s">
        <v>53</v>
      </c>
      <c r="I15" s="13" t="s">
        <v>52</v>
      </c>
      <c r="J15" s="9" t="s">
        <v>52</v>
      </c>
      <c r="K15" s="9"/>
      <c r="M15" s="4"/>
      <c r="N15" s="6"/>
      <c r="O15" s="6"/>
      <c r="Q15" s="4"/>
      <c r="R15" s="4"/>
      <c r="S15" s="4"/>
      <c r="T15" s="4"/>
      <c r="U15" s="4"/>
      <c r="Y15" s="5"/>
      <c r="Z15" s="7"/>
    </row>
    <row r="16" spans="1:38" s="7" customFormat="1" x14ac:dyDescent="0.2">
      <c r="A16" s="8"/>
      <c r="B16" s="20"/>
      <c r="C16" s="20"/>
      <c r="D16" s="8"/>
      <c r="E16" s="8"/>
      <c r="F16" s="19"/>
      <c r="G16" s="9" t="s">
        <v>54</v>
      </c>
      <c r="H16" s="8" t="str">
        <f>CONCATENATE(D11, "K / ",C7, " K")</f>
        <v>50K / 50 K</v>
      </c>
      <c r="I16" s="13" t="str">
        <f>A10&amp;"/"&amp;A11&amp;"/"&amp;A12</f>
        <v>75/65/20</v>
      </c>
      <c r="J16" s="9" t="s">
        <v>55</v>
      </c>
      <c r="K16" s="9"/>
      <c r="L16" s="2"/>
      <c r="M16" s="4"/>
      <c r="N16" s="6"/>
      <c r="O16" s="6"/>
      <c r="P16" s="2"/>
      <c r="Q16" s="4"/>
      <c r="R16" s="4"/>
      <c r="S16" s="8"/>
      <c r="T16" s="8"/>
      <c r="U16" s="8"/>
      <c r="Y16" s="5"/>
      <c r="Z16" s="38" t="s">
        <v>12</v>
      </c>
      <c r="AA16" s="119">
        <v>900</v>
      </c>
      <c r="AB16" s="120"/>
      <c r="AC16" s="23"/>
      <c r="AD16" s="4"/>
      <c r="AE16" s="2"/>
    </row>
    <row r="17" spans="1:31" s="7" customFormat="1" x14ac:dyDescent="0.2">
      <c r="A17" s="8"/>
      <c r="B17" s="8" t="s">
        <v>56</v>
      </c>
      <c r="C17" s="8" t="s">
        <v>56</v>
      </c>
      <c r="D17" s="8" t="s">
        <v>57</v>
      </c>
      <c r="E17" s="8"/>
      <c r="F17" s="19"/>
      <c r="G17" s="9" t="s">
        <v>58</v>
      </c>
      <c r="H17" s="8"/>
      <c r="I17" s="30" t="s">
        <v>58</v>
      </c>
      <c r="J17" s="9" t="s">
        <v>58</v>
      </c>
      <c r="K17" s="9"/>
      <c r="M17" s="6"/>
      <c r="N17" s="15"/>
      <c r="O17" s="4"/>
      <c r="Q17" s="19"/>
      <c r="R17" s="19"/>
      <c r="S17" s="5"/>
      <c r="T17" s="5"/>
      <c r="U17" s="19"/>
      <c r="Y17" s="5"/>
      <c r="Z17" s="38" t="s">
        <v>13</v>
      </c>
      <c r="AA17" s="33" t="s">
        <v>38</v>
      </c>
      <c r="AB17" s="33" t="s">
        <v>6</v>
      </c>
      <c r="AC17" s="38" t="s">
        <v>14</v>
      </c>
      <c r="AD17" s="38" t="s">
        <v>15</v>
      </c>
      <c r="AE17" s="2"/>
    </row>
    <row r="18" spans="1:31" s="7" customFormat="1" x14ac:dyDescent="0.2">
      <c r="A18" s="21">
        <v>22</v>
      </c>
      <c r="B18" s="50">
        <v>500</v>
      </c>
      <c r="C18" s="50">
        <v>1000</v>
      </c>
      <c r="D18" s="21">
        <v>0</v>
      </c>
      <c r="E18" s="49">
        <v>7.8437599999999996</v>
      </c>
      <c r="F18" s="49">
        <v>1.3424</v>
      </c>
      <c r="G18" s="48">
        <v>1497</v>
      </c>
      <c r="H18" s="17">
        <f>IF($D$11&lt;30,"",$G$11^F18)</f>
        <v>1</v>
      </c>
      <c r="I18" s="18">
        <f>IFERROR(G18*H18,"")</f>
        <v>1497</v>
      </c>
      <c r="J18" s="48">
        <f>E18*(30^F18)</f>
        <v>754.0703577911255</v>
      </c>
      <c r="M18" s="4"/>
      <c r="N18" s="15"/>
      <c r="O18" s="4"/>
      <c r="Q18" s="4"/>
      <c r="R18" s="5"/>
      <c r="S18" s="5"/>
      <c r="T18" s="12"/>
      <c r="U18" s="4"/>
      <c r="Y18" s="5"/>
      <c r="Z18" s="38" t="s">
        <v>17</v>
      </c>
      <c r="AA18" s="33" t="s">
        <v>9</v>
      </c>
      <c r="AB18" s="33" t="s">
        <v>9</v>
      </c>
      <c r="AC18" s="38" t="s">
        <v>18</v>
      </c>
      <c r="AD18" s="39"/>
      <c r="AE18" s="2"/>
    </row>
    <row r="19" spans="1:31" x14ac:dyDescent="0.2">
      <c r="A19" s="21">
        <v>22</v>
      </c>
      <c r="B19" s="50">
        <v>500</v>
      </c>
      <c r="C19" s="50">
        <v>1000</v>
      </c>
      <c r="D19" s="16">
        <v>8</v>
      </c>
      <c r="E19" s="49">
        <v>20.164899999999999</v>
      </c>
      <c r="F19" s="49">
        <v>1.1878</v>
      </c>
      <c r="G19" s="48">
        <v>2102</v>
      </c>
      <c r="H19" s="17">
        <f t="shared" ref="H19:H23" si="0">IF($D$11&lt;30,"",$G$11^F19)</f>
        <v>1</v>
      </c>
      <c r="I19" s="18">
        <f t="shared" ref="I19:I23" si="1">IFERROR(G19*H19,"")</f>
        <v>2102</v>
      </c>
      <c r="J19" s="48">
        <f t="shared" ref="J19:J23" si="2">E19*(30^F19)</f>
        <v>1145.8313462963149</v>
      </c>
      <c r="K19" s="7"/>
      <c r="L19" s="7"/>
      <c r="M19" s="4"/>
      <c r="N19" s="15"/>
      <c r="R19" s="3"/>
      <c r="Y19" s="5"/>
      <c r="Z19" s="39">
        <v>1000</v>
      </c>
      <c r="AA19" s="40" t="str">
        <f>IFERROR(ROUND(G22*$T$6^AA$20,0),"")</f>
        <v/>
      </c>
      <c r="AB19" s="40" t="str">
        <f>IFERROR(ROUND(G23*$T$6^AB$20,0),"")</f>
        <v/>
      </c>
      <c r="AC19" s="39" t="str">
        <f>IF(T6="","",(M5&amp;"/"&amp;M6&amp;"/"&amp;M7&amp;" °C"))</f>
        <v/>
      </c>
      <c r="AD19" s="39" t="str">
        <f>U6</f>
        <v>log.</v>
      </c>
    </row>
    <row r="20" spans="1:31" x14ac:dyDescent="0.2">
      <c r="A20" s="22">
        <v>22</v>
      </c>
      <c r="B20" s="51">
        <v>600</v>
      </c>
      <c r="C20" s="51">
        <v>1000</v>
      </c>
      <c r="D20" s="28">
        <v>0</v>
      </c>
      <c r="E20" s="52">
        <v>8.3556699999999999</v>
      </c>
      <c r="F20" s="52">
        <v>1.3545</v>
      </c>
      <c r="G20" s="53">
        <v>1672</v>
      </c>
      <c r="H20" s="17">
        <f t="shared" si="0"/>
        <v>1</v>
      </c>
      <c r="I20" s="18">
        <f t="shared" si="1"/>
        <v>1672</v>
      </c>
      <c r="J20" s="48">
        <f t="shared" si="2"/>
        <v>837.03191818585765</v>
      </c>
      <c r="K20" s="7"/>
      <c r="M20" s="6"/>
      <c r="U20" s="4"/>
      <c r="Y20" s="5"/>
      <c r="Z20" s="38" t="s">
        <v>19</v>
      </c>
      <c r="AA20" s="34" t="str">
        <f>IF(AND(T6="",T12="",T18=""),"",F22)</f>
        <v/>
      </c>
      <c r="AB20" s="34" t="str">
        <f>IF(AND(T6="",T12="",T18=""),"",F23)</f>
        <v/>
      </c>
      <c r="AC20" s="4"/>
      <c r="AD20" s="4"/>
    </row>
    <row r="21" spans="1:31" x14ac:dyDescent="0.2">
      <c r="A21" s="22">
        <v>22</v>
      </c>
      <c r="B21" s="51">
        <v>600</v>
      </c>
      <c r="C21" s="51">
        <v>1000</v>
      </c>
      <c r="D21" s="28">
        <v>8</v>
      </c>
      <c r="E21" s="52">
        <v>21.049939999999999</v>
      </c>
      <c r="F21" s="52">
        <v>1.1967000000000001</v>
      </c>
      <c r="G21" s="53">
        <v>2272</v>
      </c>
      <c r="H21" s="17">
        <f t="shared" si="0"/>
        <v>1</v>
      </c>
      <c r="I21" s="18">
        <f t="shared" si="1"/>
        <v>2272</v>
      </c>
      <c r="J21" s="48">
        <f t="shared" si="2"/>
        <v>1232.8830101739102</v>
      </c>
      <c r="M21" s="4"/>
      <c r="N21" s="6"/>
      <c r="O21" s="6"/>
      <c r="P21" s="6"/>
      <c r="R21" s="4"/>
      <c r="S21" s="4"/>
      <c r="T21" s="4"/>
      <c r="U21" s="5"/>
      <c r="Y21" s="5"/>
      <c r="Z21" s="2"/>
    </row>
    <row r="22" spans="1:31" x14ac:dyDescent="0.2">
      <c r="A22" s="21">
        <v>22</v>
      </c>
      <c r="B22" s="50">
        <v>900</v>
      </c>
      <c r="C22" s="50">
        <v>1000</v>
      </c>
      <c r="D22" s="21">
        <v>0</v>
      </c>
      <c r="E22" s="49">
        <v>10.378349999999999</v>
      </c>
      <c r="F22" s="49">
        <v>1.3743000000000001</v>
      </c>
      <c r="G22" s="48">
        <v>2244</v>
      </c>
      <c r="H22" s="17">
        <f t="shared" si="0"/>
        <v>1</v>
      </c>
      <c r="I22" s="18">
        <f>IFERROR(G22*H22,"")</f>
        <v>2244</v>
      </c>
      <c r="J22" s="48">
        <f t="shared" si="2"/>
        <v>1112.0800584000233</v>
      </c>
      <c r="M22" s="4"/>
      <c r="N22" s="6"/>
      <c r="O22" s="6"/>
      <c r="P22" s="6"/>
      <c r="Y22" s="5"/>
      <c r="Z22" s="2"/>
    </row>
    <row r="23" spans="1:31" x14ac:dyDescent="0.2">
      <c r="A23" s="21">
        <v>22</v>
      </c>
      <c r="B23" s="50">
        <v>900</v>
      </c>
      <c r="C23" s="50">
        <v>1000</v>
      </c>
      <c r="D23" s="16">
        <v>8</v>
      </c>
      <c r="E23" s="49">
        <v>21.866669999999999</v>
      </c>
      <c r="F23" s="49">
        <v>1.2441</v>
      </c>
      <c r="G23" s="48">
        <v>2841</v>
      </c>
      <c r="H23" s="17">
        <f t="shared" si="0"/>
        <v>1</v>
      </c>
      <c r="I23" s="18">
        <f t="shared" si="1"/>
        <v>2841</v>
      </c>
      <c r="J23" s="48">
        <f t="shared" si="2"/>
        <v>1504.7668108884748</v>
      </c>
      <c r="M23" s="6"/>
      <c r="N23" s="24"/>
      <c r="P23" s="4"/>
      <c r="Q23" s="4"/>
      <c r="Y23" s="5"/>
      <c r="Z23" s="2"/>
    </row>
    <row r="24" spans="1:31" x14ac:dyDescent="0.2">
      <c r="B24" s="4"/>
      <c r="C24" s="4"/>
      <c r="D24" s="4"/>
      <c r="E24" s="4"/>
      <c r="F24" s="4"/>
      <c r="G24" s="10"/>
      <c r="H24" s="10"/>
      <c r="I24" s="10"/>
      <c r="J24" s="10"/>
      <c r="M24" s="4"/>
      <c r="N24" s="24"/>
      <c r="P24" s="4"/>
      <c r="Q24" s="4"/>
      <c r="R24" s="5"/>
      <c r="S24" s="5"/>
      <c r="T24" s="12"/>
      <c r="Y24" s="5"/>
      <c r="Z24" s="2"/>
      <c r="AA24" s="3"/>
    </row>
    <row r="28" spans="1:31" x14ac:dyDescent="0.2"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37" spans="25:38" x14ac:dyDescent="0.2">
      <c r="Y37" s="2"/>
      <c r="Z37" s="2"/>
    </row>
    <row r="38" spans="25:38" x14ac:dyDescent="0.2">
      <c r="Y38" s="7"/>
      <c r="Z38" s="2"/>
      <c r="AL38" s="7"/>
    </row>
    <row r="39" spans="25:38" x14ac:dyDescent="0.2">
      <c r="Y39" s="7"/>
      <c r="Z39" s="2"/>
      <c r="AL39" s="7"/>
    </row>
    <row r="40" spans="25:38" x14ac:dyDescent="0.2">
      <c r="Y40" s="7"/>
      <c r="AL40" s="7"/>
    </row>
    <row r="41" spans="25:38" x14ac:dyDescent="0.2">
      <c r="Y41" s="2"/>
    </row>
    <row r="42" spans="25:38" x14ac:dyDescent="0.2">
      <c r="Y42" s="2"/>
    </row>
  </sheetData>
  <sheetProtection algorithmName="SHA-512" hashValue="7fBw2IL49+FOvuAzZZSHvzQcafl0AXm9VcTlibXtmcMjpa+FwsF2zU3VoQNyKPwUXXDLOX54TOww31cXbWY0WA==" saltValue="Sn0b2iytkBhXNTJWaasvMA==" spinCount="100000" sheet="1" selectLockedCells="1"/>
  <mergeCells count="3">
    <mergeCell ref="AA4:AB4"/>
    <mergeCell ref="AA10:AB10"/>
    <mergeCell ref="AA16:AB16"/>
  </mergeCells>
  <printOptions horizontalCentered="1" gridLinesSet="0"/>
  <pageMargins left="0.31496062992125984" right="0.31496062992125984" top="1.1811023622047245" bottom="0.78740157480314965" header="0.11811023622047245" footer="0.11811023622047245"/>
  <pageSetup paperSize="9" orientation="landscape" horizontalDpi="4294967292" r:id="rId1"/>
  <headerFooter alignWithMargins="0">
    <oddHeader>&amp;L&amp;G</oddHeader>
    <oddFooter>&amp;L&amp;D / &amp;T
&amp;6&amp;A
&amp;F&amp;CSeite &amp;P von &amp;N&amp;R&amp;G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9F68A-FC8C-41E8-B8BF-B79C3EF1C8BE}">
  <sheetPr>
    <tabColor theme="5"/>
  </sheetPr>
  <dimension ref="A1:AE35"/>
  <sheetViews>
    <sheetView showGridLines="0" zoomScale="115" zoomScaleNormal="115" zoomScaleSheetLayoutView="85" workbookViewId="0">
      <selection activeCell="AA17" sqref="AA17:AB17"/>
    </sheetView>
  </sheetViews>
  <sheetFormatPr baseColWidth="10" defaultColWidth="11.5703125" defaultRowHeight="12.75" x14ac:dyDescent="0.2"/>
  <cols>
    <col min="1" max="6" width="9.7109375" style="2" customWidth="1"/>
    <col min="7" max="7" width="12.140625" style="2" bestFit="1" customWidth="1"/>
    <col min="8" max="8" width="11.85546875" style="2" bestFit="1" customWidth="1"/>
    <col min="9" max="9" width="8.140625" style="2" bestFit="1" customWidth="1"/>
    <col min="10" max="11" width="9.7109375" style="2" customWidth="1"/>
    <col min="12" max="21" width="10.7109375" style="2" customWidth="1"/>
    <col min="22" max="24" width="9.7109375" style="2" customWidth="1"/>
    <col min="25" max="25" width="13.28515625" style="3" customWidth="1"/>
    <col min="26" max="26" width="15.7109375" style="3" customWidth="1"/>
    <col min="27" max="28" width="8.28515625" style="2" customWidth="1"/>
    <col min="29" max="29" width="13.28515625" style="2" customWidth="1"/>
    <col min="30" max="30" width="8.28515625" style="2" customWidth="1"/>
    <col min="31" max="31" width="13.28515625" style="2" customWidth="1"/>
    <col min="32" max="32" width="14.140625" style="2" bestFit="1" customWidth="1"/>
    <col min="33" max="41" width="7.7109375" style="2" customWidth="1"/>
    <col min="42" max="42" width="10.7109375" style="2" bestFit="1" customWidth="1"/>
    <col min="43" max="43" width="7.7109375" style="2" customWidth="1"/>
    <col min="44" max="44" width="18.28515625" style="2" customWidth="1"/>
    <col min="45" max="45" width="11.5703125" style="2"/>
    <col min="46" max="46" width="10.5703125" style="2" bestFit="1" customWidth="1"/>
    <col min="47" max="47" width="9.140625" style="2" bestFit="1" customWidth="1"/>
    <col min="48" max="48" width="11.140625" style="2" customWidth="1"/>
    <col min="49" max="49" width="9.5703125" style="2" bestFit="1" customWidth="1"/>
    <col min="50" max="50" width="13" style="2" bestFit="1" customWidth="1"/>
    <col min="51" max="52" width="8.7109375" style="2" bestFit="1" customWidth="1"/>
    <col min="53" max="53" width="8.7109375" style="2" customWidth="1"/>
    <col min="54" max="55" width="8.7109375" style="2" bestFit="1" customWidth="1"/>
    <col min="56" max="16384" width="11.5703125" style="2"/>
  </cols>
  <sheetData>
    <row r="1" spans="1:31" ht="20.25" x14ac:dyDescent="0.3">
      <c r="A1" s="1" t="s">
        <v>27</v>
      </c>
      <c r="B1" s="1"/>
      <c r="C1" s="1"/>
      <c r="M1" s="1" t="s">
        <v>28</v>
      </c>
    </row>
    <row r="2" spans="1:31" ht="20.25" x14ac:dyDescent="0.3">
      <c r="E2" s="4"/>
      <c r="F2" s="4"/>
      <c r="G2" s="4"/>
      <c r="H2" s="4"/>
      <c r="I2" s="4"/>
      <c r="J2" s="4"/>
      <c r="K2" s="4"/>
      <c r="Y2" s="2"/>
      <c r="Z2" s="55" t="s">
        <v>59</v>
      </c>
      <c r="AA2" s="55"/>
      <c r="AB2" s="55"/>
      <c r="AC2" s="55"/>
      <c r="AD2" s="1"/>
      <c r="AE2" s="1"/>
    </row>
    <row r="3" spans="1:31" ht="13.5" customHeight="1" x14ac:dyDescent="0.2">
      <c r="A3" s="2" t="s">
        <v>30</v>
      </c>
      <c r="E3" s="4"/>
      <c r="F3" s="4"/>
      <c r="G3" s="4"/>
      <c r="H3" s="4"/>
      <c r="I3" s="4"/>
      <c r="J3" s="4"/>
      <c r="K3" s="4"/>
      <c r="M3" s="6" t="s">
        <v>31</v>
      </c>
      <c r="N3" s="6"/>
      <c r="O3" s="6"/>
      <c r="Q3" s="4"/>
      <c r="R3" s="4"/>
      <c r="S3" s="4"/>
      <c r="T3" s="4"/>
      <c r="Y3" s="2"/>
      <c r="Z3" s="2"/>
    </row>
    <row r="4" spans="1:31" x14ac:dyDescent="0.2">
      <c r="A4" s="2" t="s">
        <v>32</v>
      </c>
      <c r="E4" s="4"/>
      <c r="F4" s="4"/>
      <c r="G4" s="4"/>
      <c r="H4" s="4"/>
      <c r="I4" s="4"/>
      <c r="J4" s="4"/>
      <c r="K4" s="4"/>
      <c r="M4" s="6" t="s">
        <v>33</v>
      </c>
      <c r="N4" s="6"/>
      <c r="O4" s="6"/>
      <c r="Q4" s="4"/>
      <c r="R4" s="4"/>
      <c r="S4" s="4"/>
      <c r="T4" s="4"/>
      <c r="Y4" s="2"/>
      <c r="Z4" s="38" t="s">
        <v>12</v>
      </c>
      <c r="AA4" s="121">
        <v>500</v>
      </c>
      <c r="AB4" s="121"/>
      <c r="AC4" s="23"/>
      <c r="AD4" s="4"/>
    </row>
    <row r="5" spans="1:31" ht="13.5" customHeight="1" x14ac:dyDescent="0.3">
      <c r="E5" s="4"/>
      <c r="F5" s="4"/>
      <c r="G5" s="4"/>
      <c r="H5" s="4"/>
      <c r="I5" s="4"/>
      <c r="J5" s="4"/>
      <c r="K5" s="4"/>
      <c r="M5" s="11">
        <f>IF('ULOW E PURMO_Radson Heating'!B7&gt;M6,'ULOW E PURMO_Radson Heating'!B7,"")</f>
        <v>45</v>
      </c>
      <c r="N5" s="15" t="s">
        <v>7</v>
      </c>
      <c r="O5" s="4"/>
      <c r="Q5" s="19" t="s">
        <v>34</v>
      </c>
      <c r="R5" s="19" t="s">
        <v>35</v>
      </c>
      <c r="S5" s="5" t="s">
        <v>36</v>
      </c>
      <c r="T5" s="5" t="s">
        <v>37</v>
      </c>
      <c r="U5" s="19" t="s">
        <v>15</v>
      </c>
      <c r="Y5" s="2"/>
      <c r="Z5" s="38" t="s">
        <v>13</v>
      </c>
      <c r="AA5" s="26" t="s">
        <v>38</v>
      </c>
      <c r="AB5" s="26" t="s">
        <v>6</v>
      </c>
      <c r="AC5" s="38" t="s">
        <v>14</v>
      </c>
      <c r="AD5" s="38" t="s">
        <v>15</v>
      </c>
    </row>
    <row r="6" spans="1:31" x14ac:dyDescent="0.2">
      <c r="A6" s="2">
        <v>75</v>
      </c>
      <c r="B6" s="4" t="s">
        <v>39</v>
      </c>
      <c r="C6" s="4" t="s">
        <v>40</v>
      </c>
      <c r="D6" s="4" t="s">
        <v>41</v>
      </c>
      <c r="E6" s="19" t="s">
        <v>36</v>
      </c>
      <c r="F6" s="2">
        <v>42</v>
      </c>
      <c r="G6" s="4" t="s">
        <v>39</v>
      </c>
      <c r="H6" s="4" t="s">
        <v>40</v>
      </c>
      <c r="I6" s="4" t="s">
        <v>41</v>
      </c>
      <c r="M6" s="11">
        <f>'ULOW E PURMO_Radson Heating'!B8</f>
        <v>35</v>
      </c>
      <c r="N6" s="15" t="s">
        <v>10</v>
      </c>
      <c r="O6" s="4"/>
      <c r="Q6" s="4">
        <f>IF((M5+M6)/2-M7&gt;=30,"",(M5+M6)/2-M7)</f>
        <v>20</v>
      </c>
      <c r="R6" s="5">
        <f>IF(Q6="","",(M5-M6)/LN((M5-M7)/(M6-M7)))</f>
        <v>19.576151889712175</v>
      </c>
      <c r="S6" s="5">
        <f>(M6-M7)/(M5-M7)</f>
        <v>0.6</v>
      </c>
      <c r="T6" s="12">
        <f>IFERROR(IF(S6&lt;0.7,R6/I7,Q6/H7),"")</f>
        <v>0.98209000354531206</v>
      </c>
      <c r="U6" s="4" t="str">
        <f>IF(S6&lt;0.7,"log.","arith.")</f>
        <v>log.</v>
      </c>
      <c r="Y6" s="2"/>
      <c r="Z6" s="38" t="s">
        <v>17</v>
      </c>
      <c r="AA6" s="26" t="s">
        <v>9</v>
      </c>
      <c r="AB6" s="26" t="s">
        <v>9</v>
      </c>
      <c r="AC6" s="38" t="s">
        <v>18</v>
      </c>
      <c r="AD6" s="39"/>
    </row>
    <row r="7" spans="1:31" x14ac:dyDescent="0.2">
      <c r="A7" s="2">
        <v>65</v>
      </c>
      <c r="B7" s="4" t="s">
        <v>39</v>
      </c>
      <c r="C7" s="4">
        <f>IF(D11="","",(A6+A7)/2-A8)</f>
        <v>50</v>
      </c>
      <c r="D7" s="5">
        <f>IF(C7="","",(A6-A7)/LN((A6-A8)/(A7-A8)))</f>
        <v>49.83288654563971</v>
      </c>
      <c r="E7" s="2">
        <f>(A7-A8)/(A6-A8)</f>
        <v>0.81818181818181823</v>
      </c>
      <c r="F7" s="2">
        <v>38</v>
      </c>
      <c r="G7" s="4" t="s">
        <v>39</v>
      </c>
      <c r="H7" s="4">
        <f>IF(C7="","",(F6+F7)/2-F8)</f>
        <v>20</v>
      </c>
      <c r="I7" s="5">
        <f>IF(H7="","",(F6-F7)/LN((F6-F8)/(F7-F8)))</f>
        <v>19.933154618255884</v>
      </c>
      <c r="J7" s="2">
        <f>(F7-F8)/(F6-F8)</f>
        <v>0.81818181818181823</v>
      </c>
      <c r="M7" s="11">
        <f>'ULOW E PURMO_Radson Heating'!B9</f>
        <v>20</v>
      </c>
      <c r="N7" s="15" t="s">
        <v>11</v>
      </c>
      <c r="Q7" s="4"/>
      <c r="R7" s="5"/>
      <c r="S7" s="4"/>
      <c r="T7" s="4"/>
      <c r="U7" s="4"/>
      <c r="Y7" s="2"/>
      <c r="Z7" s="39">
        <v>1000</v>
      </c>
      <c r="AA7" s="40">
        <f>IFERROR(ROUND(G18*$T$6^AA$8,0),"")</f>
        <v>426</v>
      </c>
      <c r="AB7" s="40">
        <f>IFERROR(ROUND(G19*$T$6^AB$8,0),"")</f>
        <v>709</v>
      </c>
      <c r="AC7" s="39" t="str">
        <f>M5&amp;"/"&amp;M6&amp;"/"&amp;M7&amp;" °C"</f>
        <v>45/35/20 °C</v>
      </c>
      <c r="AD7" s="39" t="str">
        <f>U6</f>
        <v>log.</v>
      </c>
    </row>
    <row r="8" spans="1:31" x14ac:dyDescent="0.2">
      <c r="A8" s="2">
        <v>20</v>
      </c>
      <c r="B8" s="4" t="s">
        <v>39</v>
      </c>
      <c r="C8" s="4"/>
      <c r="D8" s="4"/>
      <c r="E8" s="4"/>
      <c r="F8" s="2">
        <v>20</v>
      </c>
      <c r="G8" s="4" t="s">
        <v>39</v>
      </c>
      <c r="H8" s="4"/>
      <c r="I8" s="4"/>
      <c r="M8" s="24"/>
      <c r="N8" s="24"/>
      <c r="O8" s="24"/>
      <c r="Q8" s="4"/>
      <c r="R8" s="4"/>
      <c r="S8" s="4"/>
      <c r="T8" s="4"/>
      <c r="U8" s="4"/>
      <c r="Y8" s="2"/>
      <c r="Z8" s="38" t="s">
        <v>19</v>
      </c>
      <c r="AA8" s="34">
        <f>IF(AND(T6="",T12="",T18=""),"",F18)</f>
        <v>1.3463400000000001</v>
      </c>
      <c r="AB8" s="34">
        <f>IF(AND(T6="",T12="",T18=""),"",F19)</f>
        <v>1.1326499999999999</v>
      </c>
      <c r="AC8" s="4"/>
      <c r="AD8" s="4"/>
    </row>
    <row r="9" spans="1:31" x14ac:dyDescent="0.2">
      <c r="A9" s="6" t="s">
        <v>42</v>
      </c>
      <c r="B9" s="6"/>
      <c r="C9" s="6"/>
      <c r="E9" s="4"/>
      <c r="F9" s="4"/>
      <c r="G9" s="4"/>
      <c r="H9" s="4"/>
      <c r="I9" s="4"/>
      <c r="J9" s="4"/>
      <c r="K9" s="4"/>
      <c r="M9" s="6"/>
      <c r="N9" s="6"/>
      <c r="O9" s="6"/>
      <c r="Q9" s="4"/>
      <c r="R9" s="4"/>
      <c r="S9" s="4"/>
      <c r="T9" s="4"/>
      <c r="U9" s="4"/>
      <c r="Y9" s="2"/>
      <c r="Z9" s="2"/>
      <c r="AA9" s="25"/>
      <c r="AB9" s="25"/>
    </row>
    <row r="10" spans="1:31" x14ac:dyDescent="0.2">
      <c r="A10" s="11">
        <v>42</v>
      </c>
      <c r="B10" s="15" t="s">
        <v>43</v>
      </c>
      <c r="C10" s="4"/>
      <c r="D10" s="4" t="s">
        <v>44</v>
      </c>
      <c r="E10" s="4" t="s">
        <v>41</v>
      </c>
      <c r="F10" s="5" t="s">
        <v>36</v>
      </c>
      <c r="G10" s="5" t="s">
        <v>45</v>
      </c>
      <c r="H10" s="5"/>
      <c r="I10" s="5"/>
      <c r="J10" s="5"/>
      <c r="K10" s="5"/>
      <c r="M10" s="6"/>
      <c r="N10" s="6"/>
      <c r="O10" s="6"/>
      <c r="Q10" s="4"/>
      <c r="R10" s="4"/>
      <c r="S10" s="4"/>
      <c r="T10" s="4"/>
      <c r="U10" s="4"/>
      <c r="Y10" s="2"/>
      <c r="Z10" s="38" t="s">
        <v>12</v>
      </c>
      <c r="AA10" s="122">
        <v>600</v>
      </c>
      <c r="AB10" s="123"/>
      <c r="AC10" s="23"/>
      <c r="AD10" s="4"/>
    </row>
    <row r="11" spans="1:31" x14ac:dyDescent="0.2">
      <c r="A11" s="11">
        <v>38</v>
      </c>
      <c r="B11" s="15" t="s">
        <v>46</v>
      </c>
      <c r="C11" s="4"/>
      <c r="D11" s="4">
        <f>IF((A10+A11)/2-A12&gt;=30,"",(A10+A11)/2-A12)</f>
        <v>20</v>
      </c>
      <c r="E11" s="5">
        <f>IF(D11="","",(A10-A11)/LN((A10-A12)/(A11-A12)))</f>
        <v>19.933154618255884</v>
      </c>
      <c r="F11" s="5">
        <f>(A11-A12)/(A10-A12)</f>
        <v>0.81818181818181823</v>
      </c>
      <c r="G11" s="12">
        <f>IFERROR(IF(F11&lt;0.7,E11/I7,D11/H7),"")</f>
        <v>1</v>
      </c>
      <c r="H11" s="12"/>
      <c r="I11" s="12"/>
      <c r="J11" s="12"/>
      <c r="K11" s="12"/>
      <c r="M11" s="35"/>
      <c r="N11" s="15"/>
      <c r="O11" s="4"/>
      <c r="Q11" s="19"/>
      <c r="R11" s="19"/>
      <c r="S11" s="5"/>
      <c r="T11" s="5"/>
      <c r="U11" s="19"/>
      <c r="Y11" s="2"/>
      <c r="Z11" s="38" t="s">
        <v>13</v>
      </c>
      <c r="AA11" s="26" t="s">
        <v>38</v>
      </c>
      <c r="AB11" s="26" t="s">
        <v>6</v>
      </c>
      <c r="AC11" s="38" t="s">
        <v>14</v>
      </c>
      <c r="AD11" s="38" t="s">
        <v>15</v>
      </c>
    </row>
    <row r="12" spans="1:31" x14ac:dyDescent="0.2">
      <c r="A12" s="11">
        <v>20</v>
      </c>
      <c r="B12" s="15" t="s">
        <v>47</v>
      </c>
      <c r="F12" s="3"/>
      <c r="M12" s="35"/>
      <c r="N12" s="15"/>
      <c r="O12" s="4"/>
      <c r="Q12" s="4"/>
      <c r="R12" s="5"/>
      <c r="S12" s="5"/>
      <c r="T12" s="12"/>
      <c r="U12" s="4"/>
      <c r="Y12" s="2"/>
      <c r="Z12" s="38" t="s">
        <v>17</v>
      </c>
      <c r="AA12" s="26" t="s">
        <v>9</v>
      </c>
      <c r="AB12" s="26" t="s">
        <v>9</v>
      </c>
      <c r="AC12" s="38" t="s">
        <v>18</v>
      </c>
      <c r="AD12" s="39"/>
    </row>
    <row r="13" spans="1:31" x14ac:dyDescent="0.2">
      <c r="A13" s="24"/>
      <c r="B13" s="24"/>
      <c r="C13" s="24"/>
      <c r="L13" s="35"/>
      <c r="M13" s="35"/>
      <c r="N13" s="15"/>
      <c r="Q13" s="4"/>
      <c r="R13" s="5"/>
      <c r="S13" s="4"/>
      <c r="T13" s="4"/>
      <c r="V13" s="4"/>
      <c r="Y13" s="8"/>
      <c r="Z13" s="39">
        <v>1000</v>
      </c>
      <c r="AA13" s="40">
        <f>IFERROR(ROUND(G20*$T$6^AA$14,0),"")</f>
        <v>479</v>
      </c>
      <c r="AB13" s="40">
        <f>IFERROR(ROUND(G21*$T$6^AB$14,0),"")</f>
        <v>766</v>
      </c>
      <c r="AC13" s="39" t="str">
        <f>M5&amp;"/"&amp;M6&amp;"/"&amp;M7&amp;" °C"</f>
        <v>45/35/20 °C</v>
      </c>
      <c r="AD13" s="39" t="str">
        <f>U6</f>
        <v>log.</v>
      </c>
    </row>
    <row r="14" spans="1:31" x14ac:dyDescent="0.2">
      <c r="I14" s="54"/>
      <c r="J14" s="15" t="s">
        <v>48</v>
      </c>
      <c r="L14" s="25"/>
      <c r="M14" s="25"/>
      <c r="Q14" s="4"/>
      <c r="R14" s="4"/>
      <c r="S14" s="4"/>
      <c r="T14" s="4"/>
      <c r="V14" s="4"/>
      <c r="Y14" s="5"/>
      <c r="Z14" s="38" t="s">
        <v>19</v>
      </c>
      <c r="AA14" s="34">
        <f>IF(AND(T6="",T12="",T18=""),"",F20)</f>
        <v>1.31098</v>
      </c>
      <c r="AB14" s="34">
        <f>IF(AND(T6="",T12="",T18=""),"",F21)</f>
        <v>1.1208400000000001</v>
      </c>
      <c r="AC14" s="4"/>
      <c r="AD14" s="4"/>
      <c r="AE14" s="7"/>
    </row>
    <row r="15" spans="1:31" x14ac:dyDescent="0.2">
      <c r="A15" s="19" t="s">
        <v>1</v>
      </c>
      <c r="B15" s="8" t="s">
        <v>49</v>
      </c>
      <c r="C15" s="8" t="s">
        <v>50</v>
      </c>
      <c r="D15" s="19" t="s">
        <v>51</v>
      </c>
      <c r="E15" s="19"/>
      <c r="F15" s="8" t="s">
        <v>19</v>
      </c>
      <c r="G15" s="9" t="s">
        <v>52</v>
      </c>
      <c r="H15" s="8" t="s">
        <v>53</v>
      </c>
      <c r="I15" s="13" t="s">
        <v>52</v>
      </c>
      <c r="J15" s="9" t="s">
        <v>52</v>
      </c>
      <c r="L15" s="6"/>
      <c r="M15" s="6"/>
      <c r="N15" s="6"/>
      <c r="O15" s="6"/>
      <c r="Q15" s="4"/>
      <c r="R15" s="4"/>
      <c r="S15" s="4"/>
      <c r="T15" s="4"/>
      <c r="U15" s="4"/>
      <c r="Y15" s="5"/>
      <c r="Z15" s="7"/>
    </row>
    <row r="16" spans="1:31" s="7" customFormat="1" x14ac:dyDescent="0.2">
      <c r="A16" s="8"/>
      <c r="B16" s="20"/>
      <c r="C16" s="20"/>
      <c r="D16" s="8"/>
      <c r="E16" s="8"/>
      <c r="F16" s="19"/>
      <c r="G16" s="9" t="s">
        <v>60</v>
      </c>
      <c r="H16" s="8" t="str">
        <f>CONCATENATE(D11, "K / ",H7, " K")</f>
        <v>20K / 20 K</v>
      </c>
      <c r="I16" s="13" t="str">
        <f>A10&amp;"/"&amp;A11&amp;"/"&amp;A12</f>
        <v>42/38/20</v>
      </c>
      <c r="J16" s="9" t="s">
        <v>61</v>
      </c>
      <c r="K16" s="2"/>
      <c r="L16" s="6"/>
      <c r="M16" s="6"/>
      <c r="N16" s="6"/>
      <c r="O16" s="6"/>
      <c r="P16" s="2"/>
      <c r="Q16" s="4"/>
      <c r="R16" s="4"/>
      <c r="S16" s="8"/>
      <c r="T16" s="8"/>
      <c r="U16" s="8"/>
      <c r="Y16" s="5"/>
      <c r="Z16" s="38" t="s">
        <v>12</v>
      </c>
      <c r="AA16" s="122">
        <v>900</v>
      </c>
      <c r="AB16" s="123"/>
      <c r="AC16" s="23"/>
      <c r="AD16" s="4"/>
      <c r="AE16" s="2"/>
    </row>
    <row r="17" spans="1:31" s="7" customFormat="1" x14ac:dyDescent="0.2">
      <c r="A17" s="8"/>
      <c r="B17" s="8" t="s">
        <v>56</v>
      </c>
      <c r="C17" s="8" t="s">
        <v>56</v>
      </c>
      <c r="D17" s="8" t="s">
        <v>57</v>
      </c>
      <c r="E17" s="8"/>
      <c r="F17" s="19"/>
      <c r="G17" s="9" t="s">
        <v>58</v>
      </c>
      <c r="H17" s="8"/>
      <c r="I17" s="30" t="s">
        <v>58</v>
      </c>
      <c r="J17" s="9" t="s">
        <v>58</v>
      </c>
      <c r="L17" s="35"/>
      <c r="M17" s="35"/>
      <c r="N17" s="15"/>
      <c r="O17" s="4"/>
      <c r="Q17" s="19"/>
      <c r="R17" s="19"/>
      <c r="S17" s="5"/>
      <c r="T17" s="5"/>
      <c r="U17" s="19"/>
      <c r="Y17" s="5"/>
      <c r="Z17" s="38" t="s">
        <v>13</v>
      </c>
      <c r="AA17" s="26" t="s">
        <v>38</v>
      </c>
      <c r="AB17" s="26" t="s">
        <v>6</v>
      </c>
      <c r="AC17" s="38" t="s">
        <v>14</v>
      </c>
      <c r="AD17" s="38" t="s">
        <v>15</v>
      </c>
      <c r="AE17" s="2"/>
    </row>
    <row r="18" spans="1:31" s="7" customFormat="1" x14ac:dyDescent="0.2">
      <c r="A18" s="21">
        <v>22</v>
      </c>
      <c r="B18" s="50">
        <v>500</v>
      </c>
      <c r="C18" s="50">
        <v>1000</v>
      </c>
      <c r="D18" s="21">
        <v>0</v>
      </c>
      <c r="E18" s="49">
        <v>7.7331899999999996</v>
      </c>
      <c r="F18" s="49">
        <v>1.3463400000000001</v>
      </c>
      <c r="G18" s="48">
        <v>437</v>
      </c>
      <c r="H18" s="17">
        <f>IF($D$11&gt;=30,"",$G$11^F18)</f>
        <v>1</v>
      </c>
      <c r="I18" s="18">
        <f>IFERROR(G18*H18,"")</f>
        <v>437</v>
      </c>
      <c r="J18" s="48">
        <f t="shared" ref="J18:J23" si="0">E18*(10^F18)</f>
        <v>171.67168927001993</v>
      </c>
      <c r="L18" s="35"/>
      <c r="M18" s="35"/>
      <c r="N18" s="15"/>
      <c r="O18" s="4"/>
      <c r="Q18" s="4"/>
      <c r="R18" s="5"/>
      <c r="S18" s="5"/>
      <c r="T18" s="12"/>
      <c r="U18" s="4"/>
      <c r="Y18" s="5"/>
      <c r="Z18" s="38" t="s">
        <v>17</v>
      </c>
      <c r="AA18" s="26" t="s">
        <v>9</v>
      </c>
      <c r="AB18" s="26" t="s">
        <v>9</v>
      </c>
      <c r="AC18" s="38" t="s">
        <v>18</v>
      </c>
      <c r="AD18" s="39"/>
      <c r="AE18" s="2"/>
    </row>
    <row r="19" spans="1:31" x14ac:dyDescent="0.2">
      <c r="A19" s="21">
        <v>22</v>
      </c>
      <c r="B19" s="50">
        <v>500</v>
      </c>
      <c r="C19" s="50">
        <v>1000</v>
      </c>
      <c r="D19" s="16">
        <v>8</v>
      </c>
      <c r="E19" s="49">
        <v>24.320350000000001</v>
      </c>
      <c r="F19" s="49">
        <v>1.1326499999999999</v>
      </c>
      <c r="G19" s="48">
        <v>724</v>
      </c>
      <c r="H19" s="17">
        <f>IF($D$11&gt;=30,"",$G$11^F19)</f>
        <v>1</v>
      </c>
      <c r="I19" s="18">
        <f>IFERROR(G19*H19,"")</f>
        <v>724</v>
      </c>
      <c r="J19" s="48">
        <f t="shared" si="0"/>
        <v>330.08046366322071</v>
      </c>
      <c r="K19" s="7"/>
      <c r="L19" s="35"/>
      <c r="M19" s="35"/>
      <c r="N19" s="15"/>
      <c r="R19" s="3"/>
      <c r="Y19" s="5"/>
      <c r="Z19" s="39">
        <v>1000</v>
      </c>
      <c r="AA19" s="40">
        <f>IFERROR(ROUND(G22*$T$6^AA$20,0),"")</f>
        <v>629</v>
      </c>
      <c r="AB19" s="40">
        <f>IFERROR(ROUND(G23*$T$6^AB$20,0),"")</f>
        <v>923</v>
      </c>
      <c r="AC19" s="39" t="str">
        <f>M5&amp;"/"&amp;M6&amp;"/"&amp;M7&amp;" °C"</f>
        <v>45/35/20 °C</v>
      </c>
      <c r="AD19" s="39" t="str">
        <f>U6</f>
        <v>log.</v>
      </c>
    </row>
    <row r="20" spans="1:31" x14ac:dyDescent="0.2">
      <c r="A20" s="22">
        <v>22</v>
      </c>
      <c r="B20" s="51">
        <v>600</v>
      </c>
      <c r="C20" s="51">
        <v>1000</v>
      </c>
      <c r="D20" s="28">
        <v>0</v>
      </c>
      <c r="E20" s="52">
        <v>9.6649700000000003</v>
      </c>
      <c r="F20" s="52">
        <v>1.31098</v>
      </c>
      <c r="G20" s="53">
        <v>490.7098933772171</v>
      </c>
      <c r="H20" s="17">
        <f>IF($D$11&gt;=30,"",$G$11^F20)</f>
        <v>1</v>
      </c>
      <c r="I20" s="18">
        <f>IFERROR(G20*H20,"")</f>
        <v>490.7098933772171</v>
      </c>
      <c r="J20" s="48">
        <f t="shared" si="0"/>
        <v>197.7791519297858</v>
      </c>
      <c r="U20" s="4"/>
      <c r="Y20" s="5"/>
      <c r="Z20" s="38" t="s">
        <v>19</v>
      </c>
      <c r="AA20" s="34">
        <f>IF(AND(T6="",T12="",T18=""),"",F22)</f>
        <v>1.34843</v>
      </c>
      <c r="AB20" s="34">
        <f>IF(AND(T6="",T12="",T18=""),"",F23)</f>
        <v>1.15483</v>
      </c>
      <c r="AC20" s="4"/>
      <c r="AD20" s="4"/>
    </row>
    <row r="21" spans="1:31" x14ac:dyDescent="0.2">
      <c r="A21" s="22">
        <v>22</v>
      </c>
      <c r="B21" s="51">
        <v>600</v>
      </c>
      <c r="C21" s="51">
        <v>1000</v>
      </c>
      <c r="D21" s="28">
        <v>8</v>
      </c>
      <c r="E21" s="52">
        <v>27.216999999999999</v>
      </c>
      <c r="F21" s="52">
        <v>1.1208400000000001</v>
      </c>
      <c r="G21" s="53">
        <v>781.78388429897905</v>
      </c>
      <c r="H21" s="17">
        <f t="shared" ref="H21:H23" si="1">IF($D$11&gt;=30,"",$G$11^F21)</f>
        <v>1</v>
      </c>
      <c r="I21" s="18">
        <f t="shared" ref="I21:I23" si="2">IFERROR(G21*H21,"")</f>
        <v>781.78388429897905</v>
      </c>
      <c r="J21" s="48">
        <f t="shared" si="0"/>
        <v>359.48456934771031</v>
      </c>
      <c r="N21" s="6"/>
      <c r="O21" s="6"/>
      <c r="P21" s="6"/>
      <c r="R21" s="4"/>
      <c r="S21" s="4"/>
      <c r="T21" s="4"/>
      <c r="U21" s="5"/>
      <c r="Y21" s="5"/>
      <c r="Z21" s="2"/>
    </row>
    <row r="22" spans="1:31" x14ac:dyDescent="0.2">
      <c r="A22" s="21">
        <v>22</v>
      </c>
      <c r="B22" s="50">
        <v>900</v>
      </c>
      <c r="C22" s="50">
        <v>1000</v>
      </c>
      <c r="D22" s="21">
        <v>0</v>
      </c>
      <c r="E22" s="49">
        <v>11.33999</v>
      </c>
      <c r="F22" s="49">
        <v>1.34843</v>
      </c>
      <c r="G22" s="48">
        <v>644.11075175511496</v>
      </c>
      <c r="H22" s="17">
        <f t="shared" si="1"/>
        <v>1</v>
      </c>
      <c r="I22" s="18">
        <f t="shared" si="2"/>
        <v>644.11075175511496</v>
      </c>
      <c r="J22" s="48">
        <f t="shared" si="0"/>
        <v>252.9546524694255</v>
      </c>
      <c r="N22" s="6"/>
      <c r="O22" s="6"/>
      <c r="P22" s="6"/>
      <c r="Y22" s="5"/>
      <c r="Z22" s="2"/>
    </row>
    <row r="23" spans="1:31" x14ac:dyDescent="0.2">
      <c r="A23" s="21">
        <v>22</v>
      </c>
      <c r="B23" s="50">
        <v>900</v>
      </c>
      <c r="C23" s="50">
        <v>1000</v>
      </c>
      <c r="D23" s="16">
        <v>8</v>
      </c>
      <c r="E23" s="49">
        <v>29.63889</v>
      </c>
      <c r="F23" s="49">
        <v>1.15483</v>
      </c>
      <c r="G23" s="48">
        <v>942.60644487293882</v>
      </c>
      <c r="H23" s="17">
        <f t="shared" si="1"/>
        <v>1</v>
      </c>
      <c r="I23" s="18">
        <f t="shared" si="2"/>
        <v>942.60644487293882</v>
      </c>
      <c r="J23" s="48">
        <f t="shared" si="0"/>
        <v>423.34256315544195</v>
      </c>
      <c r="N23" s="24"/>
      <c r="P23" s="4"/>
      <c r="Q23" s="4"/>
      <c r="Y23" s="5"/>
      <c r="Z23" s="2"/>
    </row>
    <row r="24" spans="1:31" x14ac:dyDescent="0.2">
      <c r="J24" s="10"/>
      <c r="K24" s="10"/>
      <c r="Y24" s="5"/>
      <c r="Z24" s="2"/>
      <c r="AA24" s="3"/>
    </row>
    <row r="30" spans="1:31" x14ac:dyDescent="0.2">
      <c r="Y30" s="2"/>
    </row>
    <row r="31" spans="1:31" x14ac:dyDescent="0.2">
      <c r="Y31" s="7"/>
    </row>
    <row r="32" spans="1:31" x14ac:dyDescent="0.2">
      <c r="Y32" s="7"/>
    </row>
    <row r="33" spans="25:25" x14ac:dyDescent="0.2">
      <c r="Y33" s="7"/>
    </row>
    <row r="34" spans="25:25" x14ac:dyDescent="0.2">
      <c r="Y34" s="2"/>
    </row>
    <row r="35" spans="25:25" x14ac:dyDescent="0.2">
      <c r="Y35" s="2"/>
    </row>
  </sheetData>
  <sheetProtection selectLockedCells="1"/>
  <mergeCells count="3">
    <mergeCell ref="AA4:AB4"/>
    <mergeCell ref="AA10:AB10"/>
    <mergeCell ref="AA16:AB16"/>
  </mergeCells>
  <printOptions horizontalCentered="1" gridLinesSet="0"/>
  <pageMargins left="0.31496062992125984" right="0.31496062992125984" top="1.1811023622047245" bottom="0.78740157480314965" header="0.11811023622047245" footer="0.11811023622047245"/>
  <pageSetup paperSize="9" orientation="landscape" horizontalDpi="4294967292" r:id="rId1"/>
  <headerFooter alignWithMargins="0">
    <oddHeader>&amp;L&amp;G</oddHeader>
    <oddFooter>&amp;L&amp;D / &amp;T
&amp;6&amp;A
&amp;F&amp;CSeite &amp;P von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DE6E1-2448-4489-8426-A658BB8E6DB4}">
  <dimension ref="A1:C2"/>
  <sheetViews>
    <sheetView workbookViewId="0">
      <selection activeCell="B7" sqref="B7"/>
    </sheetView>
  </sheetViews>
  <sheetFormatPr baseColWidth="10" defaultColWidth="11.42578125" defaultRowHeight="12.75" x14ac:dyDescent="0.2"/>
  <cols>
    <col min="2" max="2" width="41.140625" bestFit="1" customWidth="1"/>
  </cols>
  <sheetData>
    <row r="1" spans="1:3" x14ac:dyDescent="0.2">
      <c r="A1" s="36">
        <v>45190</v>
      </c>
      <c r="B1" t="s">
        <v>62</v>
      </c>
      <c r="C1" t="s">
        <v>63</v>
      </c>
    </row>
    <row r="2" spans="1:3" x14ac:dyDescent="0.2">
      <c r="A2" s="36"/>
    </row>
  </sheetData>
  <sheetProtection algorithmName="SHA-512" hashValue="XVm47IDbQi9G+JeJZaVYEA14cO1R7h7/Tu8GEhP8ToJWW1atPzJzOE0amj/GoSyk0BZL/t9Fl413hOoZ07MVHw==" saltValue="FkhkaPjzZRvZry3Lj+4U7w==" spinCount="100000" sheet="1" selectLockedCells="1" selectUnlockedCell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5F5537E0D4A4438C0C13C6CBC085BA" ma:contentTypeVersion="5" ma:contentTypeDescription="Create a new document." ma:contentTypeScope="" ma:versionID="bf57d27ad18d554e41157a5a06bbce4b">
  <xsd:schema xmlns:xsd="http://www.w3.org/2001/XMLSchema" xmlns:xs="http://www.w3.org/2001/XMLSchema" xmlns:p="http://schemas.microsoft.com/office/2006/metadata/properties" xmlns:ns2="4734f8b4-260f-4afa-a75a-48fac0e048bc" xmlns:ns3="1d9a98c6-f262-4cd2-9668-0fcca55138d7" targetNamespace="http://schemas.microsoft.com/office/2006/metadata/properties" ma:root="true" ma:fieldsID="e77aca419f7377c2e1b4fdae99ca9b32" ns2:_="" ns3:_="">
    <xsd:import namespace="4734f8b4-260f-4afa-a75a-48fac0e048bc"/>
    <xsd:import namespace="1d9a98c6-f262-4cd2-9668-0fcca55138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4f8b4-260f-4afa-a75a-48fac0e048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a98c6-f262-4cd2-9668-0fcca55138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734f8b4-260f-4afa-a75a-48fac0e048bc">
      <UserInfo>
        <DisplayName>David CORNELIS</DisplayName>
        <AccountId>21</AccountId>
        <AccountType/>
      </UserInfo>
      <UserInfo>
        <DisplayName>Frank SCHNEIDER</DisplayName>
        <AccountId>22</AccountId>
        <AccountType/>
      </UserInfo>
      <UserInfo>
        <DisplayName>Tomasz PODLES</DisplayName>
        <AccountId>23</AccountId>
        <AccountType/>
      </UserInfo>
      <UserInfo>
        <DisplayName>Heiko HANKE</DisplayName>
        <AccountId>10</AccountId>
        <AccountType/>
      </UserInfo>
      <UserInfo>
        <DisplayName>Gerhard KUMPFHUBER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AD2B34B-E274-47FA-A307-43620DDCA9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60326F-1537-4985-9820-7E48768945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34f8b4-260f-4afa-a75a-48fac0e048bc"/>
    <ds:schemaRef ds:uri="1d9a98c6-f262-4cd2-9668-0fcca55138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33E288-1706-405E-B093-594B53063E2A}">
  <ds:schemaRefs>
    <ds:schemaRef ds:uri="http://schemas.microsoft.com/office/2006/metadata/properties"/>
    <ds:schemaRef ds:uri="http://schemas.microsoft.com/office/infopath/2007/PartnerControls"/>
    <ds:schemaRef ds:uri="4734f8b4-260f-4afa-a75a-48fac0e048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ULOW E PURMO_Radson Heating</vt:lpstr>
      <vt:lpstr>ULOW E PURA Heating 30-60 K</vt:lpstr>
      <vt:lpstr>ULOW E PURA Heating 10-&lt;30 K</vt:lpstr>
      <vt:lpstr>Logbook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Leistungstabellen</dc:title>
  <dc:subject>für FHK nach EN 442 gerechnet</dc:subject>
  <dc:creator>Forschung &amp; Entwicklung</dc:creator>
  <cp:keywords/>
  <dc:description/>
  <cp:lastModifiedBy>Heiko HANKE</cp:lastModifiedBy>
  <cp:revision/>
  <dcterms:created xsi:type="dcterms:W3CDTF">1997-12-23T05:48:15Z</dcterms:created>
  <dcterms:modified xsi:type="dcterms:W3CDTF">2024-01-10T14:50:56Z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0x010100895F5537E0D4A4438C0C13C6CBC085BA</vt:lpwstr>
  </property>
</Properties>
</file>