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65506" windowWidth="7095" windowHeight="9180" activeTab="0"/>
  </bookViews>
  <sheets>
    <sheet name="PURMO C i V" sheetId="1" r:id="rId1"/>
    <sheet name="PURMO PLAN" sheetId="2" r:id="rId2"/>
  </sheets>
  <definedNames>
    <definedName name="_xlnm.Print_Area" localSheetId="0">'PURMO C i V'!$A$1:$S$50</definedName>
    <definedName name="_xlnm.Print_Area" localSheetId="1">'PURMO PLAN'!$A$1:$R$29</definedName>
    <definedName name="Z_A5C702E1_D9C7_11D5_8673_000103036B61_.wvu.PrintArea" localSheetId="0" hidden="1">'PURMO C i V'!$A$1:$S$50</definedName>
    <definedName name="Z_A5C702E1_D9C7_11D5_8673_000103036B61_.wvu.PrintArea" localSheetId="1" hidden="1">'PURMO PLAN'!$A$1:$R$29</definedName>
    <definedName name="Z_A5C702E1_D9C7_11D5_8673_000103036B61_.wvu.Rows" localSheetId="0" hidden="1">'PURMO C i V'!$31:$45,'PURMO C i V'!$47:$49</definedName>
    <definedName name="Z_A5C702E1_D9C7_11D5_8673_000103036B61_.wvu.Rows" localSheetId="1" hidden="1">'PURMO PLAN'!$30:$46</definedName>
  </definedNames>
  <calcPr fullCalcOnLoad="1"/>
</workbook>
</file>

<file path=xl/comments1.xml><?xml version="1.0" encoding="utf-8"?>
<comments xmlns="http://schemas.openxmlformats.org/spreadsheetml/2006/main">
  <authors>
    <author>Per-Gunnar Lundberg</author>
    <author>Mikko Iivonen</author>
    <author>Rafał Janiszewski</author>
  </authors>
  <commentList>
    <comment ref="A5" authorId="0">
      <text>
        <r>
          <rPr>
            <sz val="10"/>
            <rFont val="Arial"/>
            <family val="0"/>
          </rPr>
          <t>temperatura zasilania</t>
        </r>
      </text>
    </comment>
    <comment ref="D5" authorId="0">
      <text>
        <r>
          <rPr>
            <sz val="10"/>
            <rFont val="Arial"/>
            <family val="0"/>
          </rPr>
          <t>temperatura powrotu</t>
        </r>
      </text>
    </comment>
    <comment ref="G5" authorId="0">
      <text>
        <r>
          <rPr>
            <sz val="10"/>
            <rFont val="Arial"/>
            <family val="0"/>
          </rPr>
          <t>temperatura wewnętrzna</t>
        </r>
      </text>
    </comment>
    <comment ref="J5" authorId="0">
      <text>
        <r>
          <rPr>
            <sz val="10"/>
            <rFont val="Arial"/>
            <family val="0"/>
          </rPr>
          <t>temperatura zewnętrzna</t>
        </r>
      </text>
    </comment>
    <comment ref="M5" authorId="0">
      <text>
        <r>
          <rPr>
            <sz val="10"/>
            <rFont val="Arial"/>
            <family val="0"/>
          </rPr>
          <t xml:space="preserve">ilość powietrza nawiewanego 
przez pojedyńczy zestaw wentylacyjny
</t>
        </r>
      </text>
    </comment>
    <comment ref="P5" authorId="0">
      <text>
        <r>
          <rPr>
            <sz val="10"/>
            <rFont val="Arial"/>
            <family val="0"/>
          </rPr>
          <t>ilość zestawów 
wentylacyjnych</t>
        </r>
      </text>
    </comment>
    <comment ref="M6" authorId="1">
      <text>
        <r>
          <rPr>
            <sz val="10"/>
            <rFont val="Arial"/>
            <family val="0"/>
          </rPr>
          <t>procentowy udział powietrza infiltrującego poprzez nieszczelności konstrukcji</t>
        </r>
      </text>
    </comment>
    <comment ref="J7" authorId="2">
      <text>
        <r>
          <rPr>
            <sz val="10"/>
            <rFont val="Arial"/>
            <family val="0"/>
          </rPr>
          <t>logarytmiczna różnica temperatury, pomiedzy średnią temperaturą wody a temperaturą powietrza wewnątrz pomieszczenia</t>
        </r>
        <r>
          <rPr>
            <sz val="10"/>
            <rFont val="Arial"/>
            <family val="0"/>
          </rPr>
          <t xml:space="preserve">
</t>
        </r>
      </text>
    </comment>
    <comment ref="M7" authorId="2">
      <text>
        <r>
          <rPr>
            <sz val="10"/>
            <rFont val="Arial"/>
            <family val="0"/>
          </rPr>
          <t>logarytmiczna różnica temperatury, pomiędzy srednią temperaturą wody a temperaturą powietrza zewnętrznego</t>
        </r>
        <r>
          <rPr>
            <sz val="10"/>
            <rFont val="Arial"/>
            <family val="0"/>
          </rPr>
          <t xml:space="preserve">
</t>
        </r>
      </text>
    </comment>
    <comment ref="P7" authorId="2">
      <text>
        <r>
          <rPr>
            <sz val="10"/>
            <rFont val="Arial"/>
            <family val="0"/>
          </rPr>
          <t>wymagane podciśnienie</t>
        </r>
        <r>
          <rPr>
            <sz val="10"/>
            <rFont val="Arial"/>
            <family val="0"/>
          </rPr>
          <t xml:space="preserve">
</t>
        </r>
      </text>
    </comment>
    <comment ref="C26" authorId="2">
      <text>
        <r>
          <rPr>
            <sz val="10"/>
            <rFont val="Arial"/>
            <family val="0"/>
          </rPr>
          <t>średnia temperatura powietrza nawiewanego przy V</t>
        </r>
        <r>
          <rPr>
            <sz val="10"/>
            <rFont val="Arial"/>
            <family val="0"/>
          </rPr>
          <t>100</t>
        </r>
      </text>
    </comment>
  </commentList>
</comments>
</file>

<file path=xl/comments2.xml><?xml version="1.0" encoding="utf-8"?>
<comments xmlns="http://schemas.openxmlformats.org/spreadsheetml/2006/main">
  <authors>
    <author>Per-Gunnar Lundberg</author>
    <author>Rafał Janiszewski</author>
    <author>Mikko Iivonen</author>
  </authors>
  <commentList>
    <comment ref="A5" authorId="0">
      <text>
        <r>
          <rPr>
            <sz val="10"/>
            <rFont val="Arial"/>
            <family val="0"/>
          </rPr>
          <t>temperatura zasilania</t>
        </r>
      </text>
    </comment>
    <comment ref="D5" authorId="0">
      <text>
        <r>
          <rPr>
            <sz val="10"/>
            <rFont val="Arial"/>
            <family val="0"/>
          </rPr>
          <t>temperatura powrotu</t>
        </r>
      </text>
    </comment>
    <comment ref="G5" authorId="0">
      <text>
        <r>
          <rPr>
            <sz val="10"/>
            <rFont val="Arial"/>
            <family val="0"/>
          </rPr>
          <t>temperatura wewnętrzna</t>
        </r>
      </text>
    </comment>
    <comment ref="J5" authorId="0">
      <text>
        <r>
          <rPr>
            <sz val="10"/>
            <rFont val="Arial"/>
            <family val="0"/>
          </rPr>
          <t>temperatura zewnętrzna</t>
        </r>
      </text>
    </comment>
    <comment ref="J7" authorId="1">
      <text>
        <r>
          <rPr>
            <sz val="10"/>
            <rFont val="Arial"/>
            <family val="0"/>
          </rPr>
          <t>logarytmiczna różnica temperatury, pomiedzy średnią temperaturą wody a temperaturą powietrza wewnątrz pomieszczenia</t>
        </r>
        <r>
          <rPr>
            <sz val="10"/>
            <rFont val="Arial"/>
            <family val="0"/>
          </rPr>
          <t xml:space="preserve">
</t>
        </r>
      </text>
    </comment>
    <comment ref="M7" authorId="1">
      <text>
        <r>
          <rPr>
            <sz val="10"/>
            <rFont val="Arial"/>
            <family val="0"/>
          </rPr>
          <t>logarytmiczna różnica temperatury, pomiędzy srednią temperaturą wody a temperaturą powietrza zewnętrznego</t>
        </r>
        <r>
          <rPr>
            <sz val="10"/>
            <rFont val="Arial"/>
            <family val="0"/>
          </rPr>
          <t xml:space="preserve">
</t>
        </r>
      </text>
    </comment>
    <comment ref="M5" authorId="0">
      <text>
        <r>
          <rPr>
            <sz val="10"/>
            <rFont val="Arial"/>
            <family val="0"/>
          </rPr>
          <t xml:space="preserve">ilość powietrza nawiewanego 
przez pojedyńczy zestaw wentylacyjny
</t>
        </r>
      </text>
    </comment>
    <comment ref="P5" authorId="0">
      <text>
        <r>
          <rPr>
            <sz val="10"/>
            <rFont val="Arial"/>
            <family val="0"/>
          </rPr>
          <t>ilość zestawów 
wentylacyjnych</t>
        </r>
      </text>
    </comment>
    <comment ref="M6" authorId="2">
      <text>
        <r>
          <rPr>
            <sz val="10"/>
            <rFont val="Arial"/>
            <family val="0"/>
          </rPr>
          <t>procentowy udział powietrza infiltrującego poprzez nieszczelności konstrukcji</t>
        </r>
      </text>
    </comment>
    <comment ref="P7" authorId="1">
      <text>
        <r>
          <rPr>
            <sz val="10"/>
            <rFont val="Arial"/>
            <family val="0"/>
          </rPr>
          <t>wymagane podciśnienie</t>
        </r>
        <r>
          <rPr>
            <sz val="10"/>
            <rFont val="Arial"/>
            <family val="0"/>
          </rPr>
          <t xml:space="preserve">
</t>
        </r>
      </text>
    </comment>
    <comment ref="C24" authorId="1">
      <text>
        <r>
          <rPr>
            <sz val="10"/>
            <rFont val="Arial"/>
            <family val="0"/>
          </rPr>
          <t>średnia temperatura powietrza nawiewanego przy V</t>
        </r>
        <r>
          <rPr>
            <sz val="10"/>
            <rFont val="Arial"/>
            <family val="0"/>
          </rPr>
          <t>100</t>
        </r>
      </text>
    </comment>
  </commentList>
</comments>
</file>

<file path=xl/sharedStrings.xml><?xml version="1.0" encoding="utf-8"?>
<sst xmlns="http://schemas.openxmlformats.org/spreadsheetml/2006/main" count="210" uniqueCount="68">
  <si>
    <t>Purmo PC11 Heat Output Regression Parameters</t>
  </si>
  <si>
    <t>b=</t>
  </si>
  <si>
    <t>c0=</t>
  </si>
  <si>
    <t>c1=</t>
  </si>
  <si>
    <t>PA11 Device Heat Output Regression Parameters</t>
  </si>
  <si>
    <t>bst=</t>
  </si>
  <si>
    <t>cst0=</t>
  </si>
  <si>
    <t>n=</t>
  </si>
  <si>
    <t>a1=</t>
  </si>
  <si>
    <t>d1=</t>
  </si>
  <si>
    <t>b2=</t>
  </si>
  <si>
    <t>c2=</t>
  </si>
  <si>
    <t>b1=</t>
  </si>
  <si>
    <t>kai=</t>
  </si>
  <si>
    <t>kst=</t>
  </si>
  <si>
    <t>km=</t>
  </si>
  <si>
    <t>Vo</t>
  </si>
  <si>
    <t>Vi</t>
  </si>
  <si>
    <t>tref.ao</t>
  </si>
  <si>
    <t>tref.ai</t>
  </si>
  <si>
    <t>OPao</t>
  </si>
  <si>
    <t>OPai</t>
  </si>
  <si>
    <t>Purmo PC22 Heat Output Regression Parameters</t>
  </si>
  <si>
    <t>Purmo PC33 Heat Output Regression Parameters</t>
  </si>
  <si>
    <t>PA22/33 Device Heat Output Regression Parameters</t>
  </si>
  <si>
    <t>PA22 Device Heat Output Regression Parameters</t>
  </si>
  <si>
    <t>Pa</t>
  </si>
  <si>
    <t>PC11</t>
  </si>
  <si>
    <t>˚C</t>
  </si>
  <si>
    <t>PC22</t>
  </si>
  <si>
    <t>PC33</t>
  </si>
  <si>
    <t>Δp=</t>
  </si>
  <si>
    <t>K</t>
  </si>
  <si>
    <r>
      <t>V</t>
    </r>
    <r>
      <rPr>
        <vertAlign val="subscript"/>
        <sz val="14"/>
        <rFont val="Arial"/>
        <family val="2"/>
      </rPr>
      <t>100</t>
    </r>
    <r>
      <rPr>
        <sz val="14"/>
        <rFont val="Arial"/>
        <family val="2"/>
      </rPr>
      <t>=</t>
    </r>
  </si>
  <si>
    <t>PL22 Device Heat Output Regression Parameters</t>
  </si>
  <si>
    <t>PL11 Device Heat Output Regression Parameters</t>
  </si>
  <si>
    <t>PL33 Heat Output Regression Parameters</t>
  </si>
  <si>
    <t>PL22 Heat Output Regression Parameters</t>
  </si>
  <si>
    <t>PL11 Heat Output Regression Parameters</t>
  </si>
  <si>
    <t>dp=</t>
  </si>
  <si>
    <t>dTout=</t>
  </si>
  <si>
    <t>dTin=</t>
  </si>
  <si>
    <t>PL22/33 Device Heat Outp.Regression Param.</t>
  </si>
  <si>
    <t>PP33</t>
  </si>
  <si>
    <t>PP22</t>
  </si>
  <si>
    <t>PP11</t>
  </si>
  <si>
    <t>PURMO Air + PURMO Plan VKO</t>
  </si>
  <si>
    <t>%</t>
  </si>
  <si>
    <r>
      <t>t</t>
    </r>
    <r>
      <rPr>
        <vertAlign val="subscript"/>
        <sz val="14"/>
        <rFont val="Arial"/>
        <family val="2"/>
      </rPr>
      <t>pow</t>
    </r>
    <r>
      <rPr>
        <sz val="14"/>
        <rFont val="Arial"/>
        <family val="2"/>
      </rPr>
      <t>=</t>
    </r>
  </si>
  <si>
    <r>
      <t>t</t>
    </r>
    <r>
      <rPr>
        <vertAlign val="subscript"/>
        <sz val="14"/>
        <rFont val="Arial"/>
        <family val="2"/>
      </rPr>
      <t>wew</t>
    </r>
    <r>
      <rPr>
        <sz val="14"/>
        <rFont val="Arial"/>
        <family val="2"/>
      </rPr>
      <t>=</t>
    </r>
  </si>
  <si>
    <r>
      <t>t</t>
    </r>
    <r>
      <rPr>
        <vertAlign val="subscript"/>
        <sz val="14"/>
        <rFont val="Arial"/>
        <family val="2"/>
      </rPr>
      <t>zew</t>
    </r>
    <r>
      <rPr>
        <sz val="14"/>
        <rFont val="Arial"/>
        <family val="2"/>
      </rPr>
      <t>=</t>
    </r>
  </si>
  <si>
    <r>
      <t>V</t>
    </r>
    <r>
      <rPr>
        <vertAlign val="subscript"/>
        <sz val="12"/>
        <rFont val="Arial"/>
        <family val="2"/>
      </rPr>
      <t>inf</t>
    </r>
    <r>
      <rPr>
        <b/>
        <sz val="12"/>
        <rFont val="Arial"/>
        <family val="2"/>
      </rPr>
      <t>=</t>
    </r>
  </si>
  <si>
    <t>Moce grzejników:</t>
  </si>
  <si>
    <t>ΔTwew=</t>
  </si>
  <si>
    <t>ΔTzew=</t>
  </si>
  <si>
    <t>l/s</t>
  </si>
  <si>
    <t>PURMO Air + PURMO C lub PURMO V</t>
  </si>
  <si>
    <t>Rettig Heating Sp. Z o.o. PA Vers 4PL/2001</t>
  </si>
  <si>
    <r>
      <t>Temp. nawiewu przy V</t>
    </r>
    <r>
      <rPr>
        <b/>
        <vertAlign val="subscript"/>
        <sz val="10"/>
        <rFont val="Arial"/>
        <family val="2"/>
      </rPr>
      <t>100</t>
    </r>
  </si>
  <si>
    <t>szt.</t>
  </si>
  <si>
    <t xml:space="preserve">        Grzejnik DF11 + PURMO Air PA11</t>
  </si>
  <si>
    <t xml:space="preserve">    Grzejnik DF22 + PURMO Air  PA22</t>
  </si>
  <si>
    <t>ti,naw.</t>
  </si>
  <si>
    <t>Grzejnik C11 lub V11 + PURMO Air PA11</t>
  </si>
  <si>
    <t>Grzejnik C22 lub V22 + PURMO Air PA22</t>
  </si>
  <si>
    <t>Grzejnik C33 lub V33 + PURMO Air PA22</t>
  </si>
  <si>
    <t xml:space="preserve">     Grzejnik DF33 + PURMO Air  PA22</t>
  </si>
  <si>
    <r>
      <t>t</t>
    </r>
    <r>
      <rPr>
        <vertAlign val="subscript"/>
        <sz val="14"/>
        <rFont val="Arial"/>
        <family val="2"/>
      </rPr>
      <t>zas</t>
    </r>
    <r>
      <rPr>
        <sz val="14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</si>
</sst>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#,##0.00000"/>
    <numFmt numFmtId="189" formatCode="0.00000"/>
    <numFmt numFmtId="190" formatCode="0.0000"/>
    <numFmt numFmtId="191" formatCode="&quot;Ja&quot;;&quot;Ja&quot;;&quot;Nej&quot;"/>
    <numFmt numFmtId="192" formatCode="&quot;Sant&quot;;&quot;Sant&quot;;&quot;Falskt&quot;"/>
    <numFmt numFmtId="193" formatCode="&quot;På&quot;;&quot;På&quot;;&quot;Av&quot;"/>
    <numFmt numFmtId="194" formatCode="0.0"/>
    <numFmt numFmtId="195" formatCode="0.000"/>
    <numFmt numFmtId="196" formatCode="0.000000"/>
    <numFmt numFmtId="197" formatCode="d\ m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vertAlign val="subscript"/>
      <sz val="14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49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5"/>
      <name val="Arial"/>
      <family val="2"/>
    </font>
    <font>
      <b/>
      <sz val="14"/>
      <name val="Arial"/>
      <family val="2"/>
    </font>
    <font>
      <b/>
      <sz val="12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1" fontId="4" fillId="2" borderId="3" xfId="0" applyNumberFormat="1" applyFont="1" applyFill="1" applyBorder="1" applyAlignment="1" applyProtection="1">
      <alignment horizontal="center"/>
      <protection hidden="1"/>
    </xf>
    <xf numFmtId="1" fontId="4" fillId="2" borderId="4" xfId="0" applyNumberFormat="1" applyFont="1" applyFill="1" applyBorder="1" applyAlignment="1" applyProtection="1">
      <alignment horizontal="center"/>
      <protection hidden="1"/>
    </xf>
    <xf numFmtId="1" fontId="4" fillId="2" borderId="5" xfId="0" applyNumberFormat="1" applyFont="1" applyFill="1" applyBorder="1" applyAlignment="1" applyProtection="1">
      <alignment horizontal="center"/>
      <protection hidden="1"/>
    </xf>
    <xf numFmtId="1" fontId="4" fillId="2" borderId="0" xfId="0" applyNumberFormat="1" applyFont="1" applyFill="1" applyBorder="1" applyAlignment="1" applyProtection="1">
      <alignment horizontal="center"/>
      <protection hidden="1"/>
    </xf>
    <xf numFmtId="1" fontId="4" fillId="2" borderId="6" xfId="0" applyNumberFormat="1" applyFont="1" applyFill="1" applyBorder="1" applyAlignment="1" applyProtection="1">
      <alignment horizontal="center"/>
      <protection hidden="1"/>
    </xf>
    <xf numFmtId="1" fontId="4" fillId="2" borderId="7" xfId="0" applyNumberFormat="1" applyFont="1" applyFill="1" applyBorder="1" applyAlignment="1" applyProtection="1">
      <alignment horizontal="center"/>
      <protection hidden="1"/>
    </xf>
    <xf numFmtId="1" fontId="4" fillId="2" borderId="8" xfId="0" applyNumberFormat="1" applyFont="1" applyFill="1" applyBorder="1" applyAlignment="1" applyProtection="1">
      <alignment horizontal="center"/>
      <protection hidden="1"/>
    </xf>
    <xf numFmtId="1" fontId="4" fillId="2" borderId="9" xfId="0" applyNumberFormat="1" applyFont="1" applyFill="1" applyBorder="1" applyAlignment="1" applyProtection="1">
      <alignment horizontal="center"/>
      <protection hidden="1"/>
    </xf>
    <xf numFmtId="1" fontId="4" fillId="2" borderId="10" xfId="0" applyNumberFormat="1" applyFont="1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12" xfId="0" applyFont="1" applyFill="1" applyBorder="1" applyAlignment="1" applyProtection="1">
      <alignment horizontal="right"/>
      <protection hidden="1"/>
    </xf>
    <xf numFmtId="1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Alignment="1" applyProtection="1">
      <alignment horizontal="right"/>
      <protection hidden="1"/>
    </xf>
    <xf numFmtId="1" fontId="0" fillId="2" borderId="8" xfId="0" applyNumberFormat="1" applyFont="1" applyFill="1" applyBorder="1" applyAlignment="1" applyProtection="1">
      <alignment horizontal="center"/>
      <protection hidden="1"/>
    </xf>
    <xf numFmtId="1" fontId="0" fillId="2" borderId="9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right"/>
      <protection hidden="1"/>
    </xf>
    <xf numFmtId="1" fontId="0" fillId="2" borderId="5" xfId="0" applyNumberFormat="1" applyFont="1" applyFill="1" applyBorder="1" applyAlignment="1" applyProtection="1">
      <alignment horizontal="center"/>
      <protection hidden="1"/>
    </xf>
    <xf numFmtId="1" fontId="0" fillId="2" borderId="3" xfId="0" applyNumberFormat="1" applyFont="1" applyFill="1" applyBorder="1" applyAlignment="1" applyProtection="1">
      <alignment horizontal="center"/>
      <protection hidden="1"/>
    </xf>
    <xf numFmtId="1" fontId="0" fillId="2" borderId="4" xfId="0" applyNumberFormat="1" applyFont="1" applyFill="1" applyBorder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/>
      <protection hidden="1"/>
    </xf>
    <xf numFmtId="194" fontId="4" fillId="2" borderId="7" xfId="0" applyNumberFormat="1" applyFont="1" applyFill="1" applyBorder="1" applyAlignment="1" applyProtection="1">
      <alignment horizontal="center"/>
      <protection hidden="1"/>
    </xf>
    <xf numFmtId="194" fontId="4" fillId="2" borderId="0" xfId="0" applyNumberFormat="1" applyFont="1" applyFill="1" applyBorder="1" applyAlignment="1" applyProtection="1">
      <alignment horizontal="center"/>
      <protection hidden="1"/>
    </xf>
    <xf numFmtId="194" fontId="0" fillId="2" borderId="0" xfId="0" applyNumberFormat="1" applyFill="1" applyBorder="1" applyAlignment="1" applyProtection="1">
      <alignment horizontal="center"/>
      <protection hidden="1"/>
    </xf>
    <xf numFmtId="194" fontId="0" fillId="2" borderId="7" xfId="0" applyNumberFormat="1" applyFont="1" applyFill="1" applyBorder="1" applyAlignment="1" applyProtection="1">
      <alignment horizontal="center"/>
      <protection hidden="1"/>
    </xf>
    <xf numFmtId="194" fontId="0" fillId="2" borderId="0" xfId="0" applyNumberFormat="1" applyFont="1" applyFill="1" applyBorder="1" applyAlignment="1" applyProtection="1">
      <alignment horizontal="center"/>
      <protection hidden="1"/>
    </xf>
    <xf numFmtId="194" fontId="0" fillId="2" borderId="6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/>
      <protection hidden="1"/>
    </xf>
    <xf numFmtId="2" fontId="10" fillId="2" borderId="0" xfId="0" applyNumberFormat="1" applyFont="1" applyFill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194" fontId="10" fillId="2" borderId="0" xfId="0" applyNumberFormat="1" applyFont="1" applyFill="1" applyAlignment="1" applyProtection="1">
      <alignment/>
      <protection hidden="1"/>
    </xf>
    <xf numFmtId="1" fontId="10" fillId="2" borderId="0" xfId="0" applyNumberFormat="1" applyFont="1" applyFill="1" applyBorder="1" applyAlignment="1" applyProtection="1">
      <alignment horizontal="right"/>
      <protection hidden="1"/>
    </xf>
    <xf numFmtId="0" fontId="12" fillId="2" borderId="15" xfId="0" applyFont="1" applyFill="1" applyBorder="1" applyAlignment="1" applyProtection="1">
      <alignment horizontal="center"/>
      <protection hidden="1"/>
    </xf>
    <xf numFmtId="0" fontId="12" fillId="2" borderId="12" xfId="0" applyFont="1" applyFill="1" applyBorder="1" applyAlignment="1" applyProtection="1">
      <alignment horizontal="center"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12" fillId="3" borderId="12" xfId="0" applyFont="1" applyFill="1" applyBorder="1" applyAlignment="1" applyProtection="1">
      <alignment horizontal="center"/>
      <protection hidden="1"/>
    </xf>
    <xf numFmtId="1" fontId="4" fillId="3" borderId="0" xfId="0" applyNumberFormat="1" applyFont="1" applyFill="1" applyBorder="1" applyAlignment="1" applyProtection="1">
      <alignment horizontal="center"/>
      <protection hidden="1"/>
    </xf>
    <xf numFmtId="1" fontId="4" fillId="3" borderId="6" xfId="0" applyNumberFormat="1" applyFont="1" applyFill="1" applyBorder="1" applyAlignment="1" applyProtection="1">
      <alignment horizontal="center"/>
      <protection hidden="1"/>
    </xf>
    <xf numFmtId="1" fontId="4" fillId="3" borderId="7" xfId="0" applyNumberFormat="1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/>
      <protection hidden="1"/>
    </xf>
    <xf numFmtId="49" fontId="4" fillId="2" borderId="0" xfId="0" applyNumberFormat="1" applyFont="1" applyFill="1" applyAlignment="1" applyProtection="1">
      <alignment horizontal="left"/>
      <protection hidden="1"/>
    </xf>
    <xf numFmtId="194" fontId="7" fillId="4" borderId="0" xfId="0" applyNumberFormat="1" applyFont="1" applyFill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14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right"/>
      <protection hidden="1"/>
    </xf>
    <xf numFmtId="194" fontId="5" fillId="2" borderId="1" xfId="0" applyNumberFormat="1" applyFont="1" applyFill="1" applyBorder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194" fontId="7" fillId="2" borderId="0" xfId="0" applyNumberFormat="1" applyFont="1" applyFill="1" applyAlignment="1" applyProtection="1">
      <alignment horizontal="center"/>
      <protection hidden="1"/>
    </xf>
    <xf numFmtId="1" fontId="0" fillId="2" borderId="7" xfId="0" applyNumberFormat="1" applyFont="1" applyFill="1" applyBorder="1" applyAlignment="1" applyProtection="1">
      <alignment horizontal="center"/>
      <protection hidden="1"/>
    </xf>
    <xf numFmtId="1" fontId="0" fillId="2" borderId="6" xfId="0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" fontId="0" fillId="3" borderId="7" xfId="0" applyNumberFormat="1" applyFont="1" applyFill="1" applyBorder="1" applyAlignment="1" applyProtection="1">
      <alignment horizontal="center"/>
      <protection hidden="1"/>
    </xf>
    <xf numFmtId="1" fontId="0" fillId="3" borderId="0" xfId="0" applyNumberFormat="1" applyFont="1" applyFill="1" applyBorder="1" applyAlignment="1" applyProtection="1">
      <alignment horizontal="center"/>
      <protection hidden="1"/>
    </xf>
    <xf numFmtId="1" fontId="0" fillId="3" borderId="6" xfId="0" applyNumberFormat="1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1" fontId="0" fillId="2" borderId="10" xfId="0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15" fillId="2" borderId="0" xfId="0" applyFont="1" applyFill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/>
      <protection hidden="1"/>
    </xf>
    <xf numFmtId="0" fontId="15" fillId="2" borderId="3" xfId="0" applyFont="1" applyFill="1" applyBorder="1" applyAlignment="1" applyProtection="1">
      <alignment/>
      <protection hidden="1"/>
    </xf>
    <xf numFmtId="0" fontId="15" fillId="2" borderId="4" xfId="0" applyFont="1" applyFill="1" applyBorder="1" applyAlignment="1" applyProtection="1">
      <alignment/>
      <protection hidden="1"/>
    </xf>
    <xf numFmtId="0" fontId="15" fillId="2" borderId="7" xfId="0" applyFont="1" applyFill="1" applyBorder="1" applyAlignment="1" applyProtection="1">
      <alignment horizontal="right"/>
      <protection hidden="1"/>
    </xf>
    <xf numFmtId="189" fontId="15" fillId="2" borderId="0" xfId="0" applyNumberFormat="1" applyFont="1" applyFill="1" applyBorder="1" applyAlignment="1" applyProtection="1">
      <alignment/>
      <protection hidden="1"/>
    </xf>
    <xf numFmtId="0" fontId="15" fillId="2" borderId="0" xfId="0" applyNumberFormat="1" applyFont="1" applyFill="1" applyBorder="1" applyAlignment="1" applyProtection="1">
      <alignment horizontal="right"/>
      <protection hidden="1"/>
    </xf>
    <xf numFmtId="0" fontId="15" fillId="2" borderId="0" xfId="0" applyNumberFormat="1" applyFont="1" applyFill="1" applyBorder="1" applyAlignment="1" applyProtection="1">
      <alignment/>
      <protection hidden="1"/>
    </xf>
    <xf numFmtId="0" fontId="15" fillId="2" borderId="7" xfId="0" applyNumberFormat="1" applyFont="1" applyFill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15" fillId="2" borderId="7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5" fillId="2" borderId="6" xfId="0" applyFont="1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right"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15" fillId="2" borderId="10" xfId="0" applyFont="1" applyFill="1" applyBorder="1" applyAlignment="1" applyProtection="1">
      <alignment horizontal="right"/>
      <protection hidden="1"/>
    </xf>
    <xf numFmtId="0" fontId="15" fillId="2" borderId="8" xfId="0" applyFont="1" applyFill="1" applyBorder="1" applyAlignment="1" applyProtection="1">
      <alignment/>
      <protection hidden="1"/>
    </xf>
    <xf numFmtId="0" fontId="15" fillId="2" borderId="9" xfId="0" applyFont="1" applyFill="1" applyBorder="1" applyAlignment="1" applyProtection="1">
      <alignment/>
      <protection hidden="1"/>
    </xf>
    <xf numFmtId="0" fontId="0" fillId="2" borderId="9" xfId="0" applyFont="1" applyFill="1" applyBorder="1" applyAlignment="1" applyProtection="1">
      <alignment/>
      <protection hidden="1"/>
    </xf>
    <xf numFmtId="194" fontId="0" fillId="2" borderId="10" xfId="0" applyNumberFormat="1" applyFont="1" applyFill="1" applyBorder="1" applyAlignment="1" applyProtection="1">
      <alignment horizontal="center"/>
      <protection hidden="1"/>
    </xf>
    <xf numFmtId="194" fontId="0" fillId="2" borderId="8" xfId="0" applyNumberFormat="1" applyFont="1" applyFill="1" applyBorder="1" applyAlignment="1" applyProtection="1">
      <alignment horizontal="center"/>
      <protection hidden="1"/>
    </xf>
    <xf numFmtId="194" fontId="0" fillId="2" borderId="9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/>
    </xf>
    <xf numFmtId="189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NumberFormat="1" applyFont="1" applyFill="1" applyBorder="1" applyAlignment="1" applyProtection="1">
      <alignment horizontal="right"/>
      <protection hidden="1"/>
    </xf>
    <xf numFmtId="0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right"/>
      <protection hidden="1"/>
    </xf>
    <xf numFmtId="189" fontId="15" fillId="2" borderId="0" xfId="0" applyNumberFormat="1" applyFont="1" applyFill="1" applyAlignment="1" applyProtection="1">
      <alignment/>
      <protection hidden="1"/>
    </xf>
    <xf numFmtId="0" fontId="15" fillId="2" borderId="0" xfId="0" applyNumberFormat="1" applyFont="1" applyFill="1" applyAlignment="1" applyProtection="1">
      <alignment/>
      <protection hidden="1"/>
    </xf>
    <xf numFmtId="2" fontId="19" fillId="2" borderId="1" xfId="0" applyNumberFormat="1" applyFont="1" applyFill="1" applyBorder="1" applyAlignment="1" applyProtection="1">
      <alignment horizontal="center"/>
      <protection hidden="1"/>
    </xf>
    <xf numFmtId="194" fontId="5" fillId="2" borderId="1" xfId="0" applyNumberFormat="1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 horizontal="right"/>
      <protection hidden="1"/>
    </xf>
    <xf numFmtId="2" fontId="13" fillId="2" borderId="0" xfId="0" applyNumberFormat="1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 applyProtection="1">
      <alignment horizontal="center"/>
      <protection hidden="1" locked="0"/>
    </xf>
    <xf numFmtId="0" fontId="3" fillId="5" borderId="1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1" fontId="7" fillId="4" borderId="0" xfId="0" applyNumberFormat="1" applyFont="1" applyFill="1" applyAlignment="1" applyProtection="1">
      <alignment horizontal="center"/>
      <protection locked="0"/>
    </xf>
    <xf numFmtId="0" fontId="0" fillId="6" borderId="14" xfId="0" applyFont="1" applyFill="1" applyBorder="1" applyAlignment="1" applyProtection="1">
      <alignment/>
      <protection hidden="1"/>
    </xf>
    <xf numFmtId="0" fontId="3" fillId="6" borderId="1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0" fontId="3" fillId="6" borderId="14" xfId="0" applyFont="1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3" xfId="0" applyFont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6" fillId="2" borderId="14" xfId="0" applyFont="1" applyFill="1" applyBorder="1" applyAlignment="1" applyProtection="1">
      <alignment/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21" fillId="2" borderId="8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2" fontId="13" fillId="2" borderId="1" xfId="0" applyNumberFormat="1" applyFont="1" applyFill="1" applyBorder="1" applyAlignment="1" applyProtection="1">
      <alignment/>
      <protection hidden="1"/>
    </xf>
    <xf numFmtId="0" fontId="0" fillId="6" borderId="14" xfId="0" applyFont="1" applyFill="1" applyBorder="1" applyAlignment="1" applyProtection="1">
      <alignment horizontal="left"/>
      <protection hidden="1"/>
    </xf>
    <xf numFmtId="0" fontId="0" fillId="6" borderId="2" xfId="0" applyFont="1" applyFill="1" applyBorder="1" applyAlignment="1" applyProtection="1">
      <alignment horizontal="right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21" fillId="2" borderId="3" xfId="0" applyFont="1" applyFill="1" applyBorder="1" applyAlignment="1" applyProtection="1">
      <alignment horizontal="center"/>
      <protection hidden="1"/>
    </xf>
    <xf numFmtId="0" fontId="21" fillId="2" borderId="8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38100</xdr:colOff>
      <xdr:row>9</xdr:row>
      <xdr:rowOff>9525</xdr:rowOff>
    </xdr:from>
    <xdr:to>
      <xdr:col>18</xdr:col>
      <xdr:colOff>409575</xdr:colOff>
      <xdr:row>15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724025"/>
          <a:ext cx="371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15</xdr:row>
      <xdr:rowOff>9525</xdr:rowOff>
    </xdr:from>
    <xdr:to>
      <xdr:col>17</xdr:col>
      <xdr:colOff>209550</xdr:colOff>
      <xdr:row>25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705100"/>
          <a:ext cx="10668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8</xdr:row>
      <xdr:rowOff>85725</xdr:rowOff>
    </xdr:from>
    <xdr:to>
      <xdr:col>16</xdr:col>
      <xdr:colOff>171450</xdr:colOff>
      <xdr:row>14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29475" y="1647825"/>
          <a:ext cx="381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4"/>
  <sheetViews>
    <sheetView showGridLines="0" tabSelected="1" workbookViewId="0" topLeftCell="A1">
      <selection activeCell="B5" sqref="B5"/>
    </sheetView>
  </sheetViews>
  <sheetFormatPr defaultColWidth="9.140625" defaultRowHeight="12.75" customHeight="1"/>
  <cols>
    <col min="1" max="1" width="9.140625" style="2" customWidth="1"/>
    <col min="2" max="10" width="7.140625" style="2" customWidth="1"/>
    <col min="11" max="16384" width="7.140625" style="1" customWidth="1"/>
  </cols>
  <sheetData>
    <row r="1" spans="1:29" ht="18.75" customHeight="1">
      <c r="A1" s="122" t="s">
        <v>56</v>
      </c>
      <c r="J1" s="44">
        <f>SUM(B5)</f>
        <v>75</v>
      </c>
      <c r="K1" s="44">
        <f>SUM(K5)</f>
        <v>-20</v>
      </c>
      <c r="L1" s="45">
        <f>(J1-J2)/LN((J1-J3)/(J2-J3))</f>
        <v>49.83288654563971</v>
      </c>
      <c r="M1" s="57"/>
      <c r="N1" s="46"/>
      <c r="O1" s="44"/>
      <c r="P1" s="44">
        <f>SUM(B5)</f>
        <v>75</v>
      </c>
      <c r="Q1" s="44">
        <f>SUM(K5)</f>
        <v>-20</v>
      </c>
      <c r="R1" s="45">
        <f>(P1-P2)/LN((P1-P3)/(P2-P3))</f>
        <v>49.83288654563971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0:29" ht="12.75" customHeight="1">
      <c r="J2" s="44">
        <f>SUM(E5)</f>
        <v>65</v>
      </c>
      <c r="K2" s="47">
        <f>SUM(N5)</f>
        <v>10</v>
      </c>
      <c r="L2" s="45">
        <f>(J1-J2)/LN((J1-K1)/(J2-K1))</f>
        <v>89.9073310760601</v>
      </c>
      <c r="M2" s="44"/>
      <c r="N2" s="46"/>
      <c r="O2" s="44"/>
      <c r="P2" s="44">
        <f>SUM(E5)</f>
        <v>65</v>
      </c>
      <c r="Q2" s="47">
        <f>SUM(N5)</f>
        <v>10</v>
      </c>
      <c r="R2" s="45">
        <f>(P1-P2)/LN((P1-Q1)/(P2-Q1))</f>
        <v>89.9073310760601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3:39" s="2" customFormat="1" ht="12.75" customHeight="1">
      <c r="C3" s="130">
        <f>IF(B5&lt;E5,"X = nieprawidłowa teperatura powrotu ","")</f>
      </c>
      <c r="J3" s="44">
        <f>SUM(H5)</f>
        <v>20</v>
      </c>
      <c r="K3" s="44">
        <f>SUM(Q5)</f>
        <v>1</v>
      </c>
      <c r="L3" s="48">
        <v>12</v>
      </c>
      <c r="M3" s="44"/>
      <c r="N3" s="44"/>
      <c r="O3" s="44"/>
      <c r="P3" s="44">
        <f>SUM(H5)</f>
        <v>20</v>
      </c>
      <c r="Q3" s="44">
        <f>SUM(Q5)</f>
        <v>1</v>
      </c>
      <c r="R3" s="48">
        <f>1.186*$Q$2^0.926</f>
        <v>10.001950227084308</v>
      </c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29" ht="12.75" customHeight="1">
      <c r="A4" s="3"/>
      <c r="E4" s="4">
        <f>IF(K5&gt;0,"outdoor temp 0 - minus -30˚C ","")</f>
      </c>
      <c r="J4" s="44"/>
      <c r="K4" s="44"/>
      <c r="L4" s="44"/>
      <c r="M4" s="44"/>
      <c r="N4" s="44"/>
      <c r="O4" s="44"/>
      <c r="P4" s="44"/>
      <c r="Q4" s="132"/>
      <c r="R4" s="44"/>
      <c r="S4" s="2"/>
      <c r="T4" s="2"/>
      <c r="V4" s="2"/>
      <c r="W4" s="2"/>
      <c r="X4" s="2"/>
      <c r="Y4" s="2"/>
      <c r="Z4" s="2"/>
      <c r="AA4" s="2"/>
      <c r="AB4" s="2"/>
      <c r="AC4" s="2"/>
    </row>
    <row r="5" spans="1:29" ht="24" customHeight="1">
      <c r="A5" s="5" t="s">
        <v>67</v>
      </c>
      <c r="B5" s="58">
        <v>75</v>
      </c>
      <c r="C5" s="6" t="s">
        <v>28</v>
      </c>
      <c r="D5" s="5" t="s">
        <v>48</v>
      </c>
      <c r="E5" s="58">
        <v>65</v>
      </c>
      <c r="F5" s="6" t="s">
        <v>28</v>
      </c>
      <c r="G5" s="5" t="s">
        <v>49</v>
      </c>
      <c r="H5" s="58">
        <v>20</v>
      </c>
      <c r="I5" s="6" t="s">
        <v>28</v>
      </c>
      <c r="J5" s="5" t="s">
        <v>50</v>
      </c>
      <c r="K5" s="58">
        <v>-20</v>
      </c>
      <c r="L5" s="7" t="s">
        <v>28</v>
      </c>
      <c r="M5" s="5" t="s">
        <v>33</v>
      </c>
      <c r="N5" s="58">
        <v>10</v>
      </c>
      <c r="O5" s="6" t="s">
        <v>55</v>
      </c>
      <c r="P5" s="5" t="s">
        <v>7</v>
      </c>
      <c r="Q5" s="133">
        <v>1</v>
      </c>
      <c r="R5" s="6" t="s">
        <v>59</v>
      </c>
      <c r="S5" s="2"/>
      <c r="W5" s="2"/>
      <c r="X5" s="2"/>
      <c r="Y5" s="2"/>
      <c r="Z5" s="2"/>
      <c r="AA5" s="2"/>
      <c r="AB5" s="2"/>
      <c r="AC5" s="2"/>
    </row>
    <row r="6" spans="1:29" ht="15" customHeight="1">
      <c r="A6" s="5"/>
      <c r="B6" s="74"/>
      <c r="C6" s="6"/>
      <c r="D6" s="5"/>
      <c r="E6" s="74"/>
      <c r="F6" s="6"/>
      <c r="G6" s="5"/>
      <c r="H6" s="74"/>
      <c r="I6" s="6"/>
      <c r="J6" s="5"/>
      <c r="K6" s="74"/>
      <c r="L6" s="7"/>
      <c r="M6" s="131" t="s">
        <v>51</v>
      </c>
      <c r="N6" s="136">
        <v>10</v>
      </c>
      <c r="O6" s="73" t="s">
        <v>47</v>
      </c>
      <c r="S6" s="2"/>
      <c r="W6" s="2"/>
      <c r="X6" s="2"/>
      <c r="Y6" s="2"/>
      <c r="Z6" s="2"/>
      <c r="AA6" s="2"/>
      <c r="AB6" s="2"/>
      <c r="AC6" s="2"/>
    </row>
    <row r="7" spans="2:29" ht="13.5" customHeight="1">
      <c r="B7" s="74"/>
      <c r="C7" s="6"/>
      <c r="D7" s="5"/>
      <c r="E7" s="74"/>
      <c r="F7" s="6"/>
      <c r="G7" s="5"/>
      <c r="H7" s="74"/>
      <c r="I7" s="151"/>
      <c r="J7" s="148" t="s">
        <v>53</v>
      </c>
      <c r="K7" s="156">
        <f>(B5-E5)/LN((B5-H5)/(E5-H5))</f>
        <v>49.83288654563971</v>
      </c>
      <c r="L7" s="69" t="s">
        <v>32</v>
      </c>
      <c r="M7" s="148" t="s">
        <v>54</v>
      </c>
      <c r="N7" s="156">
        <f>(B5-E5)/LN((B5-K5)/(E5-K5))</f>
        <v>89.9073310760601</v>
      </c>
      <c r="O7" s="69" t="s">
        <v>32</v>
      </c>
      <c r="P7" s="70" t="s">
        <v>31</v>
      </c>
      <c r="Q7" s="71">
        <f>IF(Q5&lt;1,0,(0.64889*$N$5^1.18565))</f>
        <v>9.94995419198806</v>
      </c>
      <c r="R7" s="72" t="s">
        <v>26</v>
      </c>
      <c r="S7" s="2"/>
      <c r="W7" s="2"/>
      <c r="X7" s="2"/>
      <c r="Y7" s="2"/>
      <c r="Z7" s="2"/>
      <c r="AA7" s="2"/>
      <c r="AB7" s="2"/>
      <c r="AC7" s="2"/>
    </row>
    <row r="8" spans="1:29" ht="12.75" customHeight="1">
      <c r="A8" s="3" t="s">
        <v>52</v>
      </c>
      <c r="K8" s="2"/>
      <c r="L8" s="30"/>
      <c r="N8" s="115">
        <f>IF($Q$7&gt;15,"Uwaga! Zbyt duża różnica ciśnienia.","")</f>
      </c>
      <c r="O8" s="30"/>
      <c r="P8" s="59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2.75" customHeight="1">
      <c r="A9" s="137"/>
      <c r="B9" s="139" t="s">
        <v>63</v>
      </c>
      <c r="C9" s="139"/>
      <c r="D9" s="139"/>
      <c r="E9" s="138"/>
      <c r="F9" s="140"/>
      <c r="G9" s="141"/>
      <c r="H9" s="139" t="s">
        <v>64</v>
      </c>
      <c r="I9" s="142"/>
      <c r="J9" s="139"/>
      <c r="K9" s="142"/>
      <c r="L9" s="143"/>
      <c r="M9" s="141"/>
      <c r="N9" s="142" t="s">
        <v>65</v>
      </c>
      <c r="O9" s="139"/>
      <c r="P9" s="142"/>
      <c r="Q9" s="142"/>
      <c r="R9" s="143"/>
      <c r="S9" s="2"/>
      <c r="T9" s="2"/>
      <c r="U9" s="3"/>
      <c r="V9" s="2"/>
      <c r="W9" s="2"/>
      <c r="X9" s="2"/>
      <c r="Y9" s="2"/>
      <c r="Z9" s="2"/>
      <c r="AA9" s="2"/>
      <c r="AB9" s="2"/>
      <c r="AC9" s="2"/>
    </row>
    <row r="10" spans="1:29" ht="12.75" customHeight="1">
      <c r="A10" s="65" t="s">
        <v>27</v>
      </c>
      <c r="B10" s="66">
        <v>300</v>
      </c>
      <c r="C10" s="67"/>
      <c r="D10" s="67">
        <v>450</v>
      </c>
      <c r="E10" s="67"/>
      <c r="F10" s="68">
        <v>600</v>
      </c>
      <c r="G10" s="65" t="s">
        <v>29</v>
      </c>
      <c r="H10" s="66">
        <v>300</v>
      </c>
      <c r="I10" s="67"/>
      <c r="J10" s="67">
        <v>450</v>
      </c>
      <c r="K10" s="67"/>
      <c r="L10" s="68">
        <v>600</v>
      </c>
      <c r="M10" s="65" t="s">
        <v>30</v>
      </c>
      <c r="N10" s="66">
        <v>300</v>
      </c>
      <c r="O10" s="67"/>
      <c r="P10" s="67">
        <v>450</v>
      </c>
      <c r="Q10" s="67"/>
      <c r="R10" s="68">
        <v>600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customHeight="1">
      <c r="A11" s="49">
        <f>IF($Q$5&gt;1,"brak",600)</f>
        <v>600</v>
      </c>
      <c r="B11" s="14">
        <f aca="true" t="shared" si="0" ref="B11:B24">IF($E$5&gt;$B$5,"X",IF($B$5&lt;$E$5,"X",IF($A11="brak","",($B$32*(B$10/1000)^$D$32*$K$7^($F$32+$F$33*(B$10/1000))*(($A11/1000)-$Q$5*0.8)+$Q$5*($B$35*(B$10/1000)^$D$35*$K$7^$F$35)+$Q$5*($B$36*($N$5*(1-$N$6/100))^$F$37*$N$7^$F$36*(B$10/1000)^$D$36))+$Q$5*($B$38*(B$10/1000)^$D$38*$K$7^$F$38))))</f>
        <v>473.11405586552553</v>
      </c>
      <c r="C11" s="12"/>
      <c r="D11" s="12">
        <f aca="true" t="shared" si="1" ref="D11:F24">IF($E$5&gt;$B$5,"X",IF($B$5&lt;$E$5,"X",IF($A11="brak","",($B$32*(D$10/1000)^$D$32*$K$7^($F$32+$F$33*(D$10/1000))*(($A11/1000)-$Q$5*0.8)+$Q$5*($B$35*(D$10/1000)^$D$35*$K$7^$F$35)+$Q$5*($B$36*($N$5*(1-$N$6/100))^$F$37*$N$7^$F$36*(D$10/1000)^$D$36))+$Q$5*($B$38*(D$10/1000)^$D$38*$K$7^$F$38))))</f>
        <v>637.9131335766325</v>
      </c>
      <c r="E11" s="12"/>
      <c r="F11" s="13">
        <f t="shared" si="1"/>
        <v>792.5751044033036</v>
      </c>
      <c r="G11" s="49">
        <f>IF($Q$5&gt;1,"",600)</f>
        <v>600</v>
      </c>
      <c r="H11" s="14">
        <f aca="true" t="shared" si="2" ref="H11:H24">IF($E$5&gt;$B$5,"X",IF($B$5&lt;$E$5,"X",IF($G11="","",($H$32*(H$10/1000)^$J$32*$L$1^($L$32+$L$33*(H$10/1000))*(($G11/1000)-$K$3*0.8)+$K$3*($H$35*(H$10/1000)^$J$35*$L$1^$L$35)+$K$3*($H$36*($K$2*(1-$N$6/100))^$L$37*$L$2^$L$36*(H$10/1000)^$J$36))+$K$3*($H$38*(H$10/1000)^$J$38*$L$1^$L$38))))</f>
        <v>721.8827091923654</v>
      </c>
      <c r="I11" s="12"/>
      <c r="J11" s="12">
        <f aca="true" t="shared" si="3" ref="J11:L24">IF($E$5&gt;$B$5,"X",IF($B$5&lt;$E$5,"X",IF($G11="","",($H$32*(J$10/1000)^$J$32*$L$1^($L$32+$L$33*(J$10/1000))*(($G11/1000)-$K$3*0.8)+$K$3*($H$35*(J$10/1000)^$J$35*$L$1^$L$35)+$K$3*($H$36*($K$2*(1-$N$6/100))^$L$37*$L$2^$L$36*(J$10/1000)^$J$36))+$K$3*($H$38*(J$10/1000)^$J$38*$L$1^$L$38))))</f>
        <v>967.9714262451985</v>
      </c>
      <c r="K11" s="12"/>
      <c r="L11" s="13">
        <f t="shared" si="3"/>
        <v>1197.0487406594764</v>
      </c>
      <c r="M11" s="49">
        <f>IF($Q$5&gt;1,"",600)</f>
        <v>600</v>
      </c>
      <c r="N11" s="14">
        <f aca="true" t="shared" si="4" ref="N11:N24">IF($E$5&gt;$B$5,"X",IF($B$5&lt;$E$5,"X",IF($M11="","",($N$32*(N$10/1000)^$P$32*$R$1^($R$32+$R$33*(N$10/1000))*(($M11/1000)-$Q$3*0.8)+$Q$3*($N$35*(N$10/1000)^$P$35*$R$1^$R$35)+$Q$3*($N$36*($Q$2*(1-$N$6/100))^$R$37*$R$2^$R$36*(N$10/1000)^$P$36))+$Q$3*($N$38*(N$10/1000)^$P$38*$R$1^$R$38))))</f>
        <v>952.9323463710517</v>
      </c>
      <c r="O11" s="12"/>
      <c r="P11" s="12">
        <f aca="true" t="shared" si="5" ref="P11:R24">IF($E$5&gt;$B$5,"X",IF($B$5&lt;$E$5,"X",IF($M11="","",($N$32*(P$10/1000)^$P$32*$R$1^($R$32+$R$33*(P$10/1000))*(($M11/1000)-$Q$3*0.8)+$Q$3*($N$35*(P$10/1000)^$P$35*$R$1^$R$35)+$Q$3*($N$36*($Q$2*(1-$N$6/100))^$R$37*$R$2^$R$36*(P$10/1000)^$P$36))+$Q$3*($N$38*(P$10/1000)^$P$38*$R$1^$R$38))))</f>
        <v>1300.3523627166028</v>
      </c>
      <c r="Q11" s="12"/>
      <c r="R11" s="13">
        <f t="shared" si="5"/>
        <v>1634.4393757808966</v>
      </c>
      <c r="S11" s="2"/>
      <c r="T11" s="2"/>
      <c r="U11" s="9"/>
      <c r="W11" s="2"/>
      <c r="X11" s="9"/>
      <c r="Z11" s="2"/>
      <c r="AA11" s="9"/>
      <c r="AC11" s="2"/>
    </row>
    <row r="12" spans="1:29" ht="12.75" customHeight="1">
      <c r="A12" s="50">
        <f>IF($Q$5&gt;1,"brak",700)</f>
        <v>700</v>
      </c>
      <c r="B12" s="17">
        <f t="shared" si="0"/>
        <v>526.0835656393074</v>
      </c>
      <c r="C12" s="15"/>
      <c r="D12" s="15">
        <f t="shared" si="1"/>
        <v>714.2724526689431</v>
      </c>
      <c r="E12" s="15"/>
      <c r="F12" s="16">
        <f t="shared" si="1"/>
        <v>891.3656927113484</v>
      </c>
      <c r="G12" s="50">
        <f>IF($Q$5&gt;1,"",700)</f>
        <v>700</v>
      </c>
      <c r="H12" s="17">
        <f t="shared" si="2"/>
        <v>816.4264961893555</v>
      </c>
      <c r="I12" s="15"/>
      <c r="J12" s="15">
        <f t="shared" si="3"/>
        <v>1098.1258024884135</v>
      </c>
      <c r="K12" s="15"/>
      <c r="L12" s="16">
        <f t="shared" si="3"/>
        <v>1361.7503013455423</v>
      </c>
      <c r="M12" s="50">
        <f>IF($Q$5&gt;1,"",700)</f>
        <v>700</v>
      </c>
      <c r="N12" s="17">
        <f t="shared" si="4"/>
        <v>1084.2304794406436</v>
      </c>
      <c r="O12" s="15"/>
      <c r="P12" s="15">
        <f t="shared" si="5"/>
        <v>1485.9363285554114</v>
      </c>
      <c r="Q12" s="15"/>
      <c r="R12" s="16">
        <f t="shared" si="5"/>
        <v>1869.4438200212192</v>
      </c>
      <c r="S12" s="2"/>
      <c r="T12" s="2"/>
      <c r="U12" s="9"/>
      <c r="W12" s="2"/>
      <c r="X12" s="9"/>
      <c r="Z12" s="2"/>
      <c r="AA12" s="9"/>
      <c r="AC12" s="2"/>
    </row>
    <row r="13" spans="1:29" ht="12.75" customHeight="1">
      <c r="A13" s="50">
        <f>IF($Q$5&gt;1,"brak",800)</f>
        <v>800</v>
      </c>
      <c r="B13" s="17">
        <f t="shared" si="0"/>
        <v>579.0530754130892</v>
      </c>
      <c r="C13" s="15"/>
      <c r="D13" s="15">
        <f t="shared" si="1"/>
        <v>790.6317717612536</v>
      </c>
      <c r="E13" s="15"/>
      <c r="F13" s="16">
        <f t="shared" si="1"/>
        <v>990.1562810193934</v>
      </c>
      <c r="G13" s="50">
        <f>IF($Q$5&gt;1,"",800)</f>
        <v>800</v>
      </c>
      <c r="H13" s="17">
        <f t="shared" si="2"/>
        <v>910.9702831863456</v>
      </c>
      <c r="I13" s="15"/>
      <c r="J13" s="15">
        <f t="shared" si="3"/>
        <v>1228.2801787316284</v>
      </c>
      <c r="K13" s="15"/>
      <c r="L13" s="16">
        <f t="shared" si="3"/>
        <v>1526.4518620316087</v>
      </c>
      <c r="M13" s="50">
        <f>IF($Q$5&gt;1,"",800)</f>
        <v>800</v>
      </c>
      <c r="N13" s="17">
        <f t="shared" si="4"/>
        <v>1215.528612510236</v>
      </c>
      <c r="O13" s="15"/>
      <c r="P13" s="15">
        <f t="shared" si="5"/>
        <v>1671.52029439422</v>
      </c>
      <c r="Q13" s="15"/>
      <c r="R13" s="16">
        <f t="shared" si="5"/>
        <v>2104.448264261542</v>
      </c>
      <c r="S13" s="2"/>
      <c r="T13" s="2"/>
      <c r="U13" s="9"/>
      <c r="W13" s="2"/>
      <c r="X13" s="9"/>
      <c r="Z13" s="2"/>
      <c r="AA13" s="9"/>
      <c r="AC13" s="2"/>
    </row>
    <row r="14" spans="1:29" ht="12.75" customHeight="1">
      <c r="A14" s="50">
        <f>IF($Q$5&gt;1,"brak",900)</f>
        <v>900</v>
      </c>
      <c r="B14" s="17">
        <f t="shared" si="0"/>
        <v>632.022585186871</v>
      </c>
      <c r="C14" s="15"/>
      <c r="D14" s="15">
        <f t="shared" si="1"/>
        <v>866.9910908535642</v>
      </c>
      <c r="E14" s="15"/>
      <c r="F14" s="16">
        <f t="shared" si="1"/>
        <v>1088.9468693274382</v>
      </c>
      <c r="G14" s="50">
        <f>IF($Q$5&gt;1,"",900)</f>
        <v>900</v>
      </c>
      <c r="H14" s="17">
        <f t="shared" si="2"/>
        <v>1005.5140701833357</v>
      </c>
      <c r="I14" s="15"/>
      <c r="J14" s="15">
        <f t="shared" si="3"/>
        <v>1358.4345549748436</v>
      </c>
      <c r="K14" s="15"/>
      <c r="L14" s="16">
        <f t="shared" si="3"/>
        <v>1691.1534227176746</v>
      </c>
      <c r="M14" s="50">
        <f>IF($Q$5&gt;1,"",900)</f>
        <v>900</v>
      </c>
      <c r="N14" s="17">
        <f t="shared" si="4"/>
        <v>1346.826745579828</v>
      </c>
      <c r="O14" s="15"/>
      <c r="P14" s="15">
        <f t="shared" si="5"/>
        <v>1857.1042602330285</v>
      </c>
      <c r="Q14" s="15"/>
      <c r="R14" s="16">
        <f t="shared" si="5"/>
        <v>2339.452708501865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.75" customHeight="1">
      <c r="A15" s="52">
        <f>IF($Q$5&gt;1,"brak",1000)</f>
        <v>1000</v>
      </c>
      <c r="B15" s="55">
        <f t="shared" si="0"/>
        <v>684.9920949606529</v>
      </c>
      <c r="C15" s="53"/>
      <c r="D15" s="53">
        <f t="shared" si="1"/>
        <v>943.3504099458746</v>
      </c>
      <c r="E15" s="53"/>
      <c r="F15" s="54">
        <f t="shared" si="1"/>
        <v>1187.7374576354832</v>
      </c>
      <c r="G15" s="52">
        <f>IF($Q$5&gt;1,"",1000)</f>
        <v>1000</v>
      </c>
      <c r="H15" s="55">
        <f t="shared" si="2"/>
        <v>1100.0578571803255</v>
      </c>
      <c r="I15" s="53"/>
      <c r="J15" s="53">
        <f t="shared" si="3"/>
        <v>1488.5889312180584</v>
      </c>
      <c r="K15" s="53"/>
      <c r="L15" s="54">
        <f t="shared" si="3"/>
        <v>1855.8549834037406</v>
      </c>
      <c r="M15" s="52">
        <f>IF($Q$5&gt;1,"",1000)</f>
        <v>1000</v>
      </c>
      <c r="N15" s="55">
        <f t="shared" si="4"/>
        <v>1478.12487864942</v>
      </c>
      <c r="O15" s="53"/>
      <c r="P15" s="53">
        <f t="shared" si="5"/>
        <v>2042.688226071837</v>
      </c>
      <c r="Q15" s="53"/>
      <c r="R15" s="54">
        <f t="shared" si="5"/>
        <v>2574.4571527421876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 customHeight="1">
      <c r="A16" s="50">
        <f>IF($Q$5&gt;1,"brak",1100)</f>
        <v>1100</v>
      </c>
      <c r="B16" s="17">
        <f t="shared" si="0"/>
        <v>737.9616047344347</v>
      </c>
      <c r="C16" s="15"/>
      <c r="D16" s="15">
        <f t="shared" si="1"/>
        <v>1019.7097290381852</v>
      </c>
      <c r="E16" s="15"/>
      <c r="F16" s="16">
        <f t="shared" si="1"/>
        <v>1286.528045943528</v>
      </c>
      <c r="G16" s="50">
        <f>IF($Q$5&gt;1,"",1100)</f>
        <v>1100</v>
      </c>
      <c r="H16" s="17">
        <f t="shared" si="2"/>
        <v>1194.6016441773156</v>
      </c>
      <c r="I16" s="15"/>
      <c r="J16" s="15">
        <f t="shared" si="3"/>
        <v>1618.7433074612736</v>
      </c>
      <c r="K16" s="15"/>
      <c r="L16" s="16">
        <f t="shared" si="3"/>
        <v>2020.5565440898067</v>
      </c>
      <c r="M16" s="50">
        <f>IF($Q$5&gt;1,"",1100)</f>
        <v>1100</v>
      </c>
      <c r="N16" s="17">
        <f t="shared" si="4"/>
        <v>1609.4230117190123</v>
      </c>
      <c r="O16" s="15"/>
      <c r="P16" s="15">
        <f t="shared" si="5"/>
        <v>2228.2721919106457</v>
      </c>
      <c r="Q16" s="15"/>
      <c r="R16" s="16">
        <f t="shared" si="5"/>
        <v>2809.4615969825104</v>
      </c>
      <c r="S16" s="2"/>
      <c r="T16" s="2"/>
      <c r="U16" s="3"/>
      <c r="V16" s="2"/>
      <c r="W16" s="2"/>
      <c r="X16" s="2"/>
      <c r="Y16" s="2"/>
      <c r="Z16" s="2"/>
      <c r="AA16" s="2"/>
      <c r="AB16" s="2"/>
      <c r="AC16" s="2"/>
    </row>
    <row r="17" spans="1:29" ht="12.75" customHeight="1">
      <c r="A17" s="50">
        <f>IF($Q$5&gt;2,"brak",1200)</f>
        <v>1200</v>
      </c>
      <c r="B17" s="17">
        <f t="shared" si="0"/>
        <v>790.9311145082165</v>
      </c>
      <c r="C17" s="15"/>
      <c r="D17" s="15">
        <f t="shared" si="1"/>
        <v>1096.0690481304957</v>
      </c>
      <c r="E17" s="15"/>
      <c r="F17" s="16">
        <f t="shared" si="1"/>
        <v>1385.3186342515728</v>
      </c>
      <c r="G17" s="50">
        <f>IF($Q$5&gt;2,"",1200)</f>
        <v>1200</v>
      </c>
      <c r="H17" s="17">
        <f t="shared" si="2"/>
        <v>1289.1454311743057</v>
      </c>
      <c r="I17" s="15"/>
      <c r="J17" s="15">
        <f t="shared" si="3"/>
        <v>1748.8976837044884</v>
      </c>
      <c r="K17" s="15"/>
      <c r="L17" s="16">
        <f t="shared" si="3"/>
        <v>2185.2581047758727</v>
      </c>
      <c r="M17" s="50">
        <f>IF($Q$5&gt;2,"",1200)</f>
        <v>1200</v>
      </c>
      <c r="N17" s="17">
        <f t="shared" si="4"/>
        <v>1740.721144788604</v>
      </c>
      <c r="O17" s="15"/>
      <c r="P17" s="15">
        <f t="shared" si="5"/>
        <v>2413.856157749454</v>
      </c>
      <c r="Q17" s="15"/>
      <c r="R17" s="16">
        <f t="shared" si="5"/>
        <v>3044.4660412228327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 customHeight="1">
      <c r="A18" s="50">
        <f>IF($Q$5&gt;2,"brak",1400)</f>
        <v>1400</v>
      </c>
      <c r="B18" s="17">
        <f t="shared" si="0"/>
        <v>896.8701340557801</v>
      </c>
      <c r="C18" s="15"/>
      <c r="D18" s="15">
        <f t="shared" si="1"/>
        <v>1248.7876863151168</v>
      </c>
      <c r="E18" s="15"/>
      <c r="F18" s="16">
        <f t="shared" si="1"/>
        <v>1582.8998108676626</v>
      </c>
      <c r="G18" s="50">
        <f>IF($Q$5&gt;2,"",1400)</f>
        <v>1400</v>
      </c>
      <c r="H18" s="17">
        <f t="shared" si="2"/>
        <v>1478.2330051682857</v>
      </c>
      <c r="I18" s="15"/>
      <c r="J18" s="15">
        <f t="shared" si="3"/>
        <v>2009.2064361909183</v>
      </c>
      <c r="K18" s="15"/>
      <c r="L18" s="16">
        <f t="shared" si="3"/>
        <v>2514.661226148005</v>
      </c>
      <c r="M18" s="50">
        <f>IF($Q$5&gt;2,"",1400)</f>
        <v>1400</v>
      </c>
      <c r="N18" s="17">
        <f t="shared" si="4"/>
        <v>2003.3174109277882</v>
      </c>
      <c r="O18" s="15"/>
      <c r="P18" s="15">
        <f t="shared" si="5"/>
        <v>2785.024089427071</v>
      </c>
      <c r="Q18" s="15"/>
      <c r="R18" s="16">
        <f t="shared" si="5"/>
        <v>3514.4749297034778</v>
      </c>
      <c r="T18" s="2"/>
      <c r="U18" s="2"/>
      <c r="AB18" s="2"/>
      <c r="AC18" s="2"/>
    </row>
    <row r="19" spans="1:29" ht="12.75" customHeight="1">
      <c r="A19" s="50">
        <f>IF($Q$5&gt;2,"brak",1600)</f>
        <v>1600</v>
      </c>
      <c r="B19" s="17">
        <f t="shared" si="0"/>
        <v>1002.8091536033438</v>
      </c>
      <c r="C19" s="15"/>
      <c r="D19" s="15">
        <f t="shared" si="1"/>
        <v>1401.5063244997377</v>
      </c>
      <c r="E19" s="15"/>
      <c r="F19" s="16">
        <f t="shared" si="1"/>
        <v>1780.4809874837526</v>
      </c>
      <c r="G19" s="50">
        <f>IF($Q$5&gt;2,"",1600)</f>
        <v>1600</v>
      </c>
      <c r="H19" s="17">
        <f t="shared" si="2"/>
        <v>1667.3205791622659</v>
      </c>
      <c r="I19" s="15"/>
      <c r="J19" s="15">
        <f t="shared" si="3"/>
        <v>2269.5151886773483</v>
      </c>
      <c r="K19" s="15"/>
      <c r="L19" s="16">
        <f t="shared" si="3"/>
        <v>2844.0643475201373</v>
      </c>
      <c r="M19" s="50">
        <f>IF($Q$5&gt;2,"",1600)</f>
        <v>1600</v>
      </c>
      <c r="N19" s="17">
        <f t="shared" si="4"/>
        <v>2265.913677066973</v>
      </c>
      <c r="O19" s="15"/>
      <c r="P19" s="15">
        <f t="shared" si="5"/>
        <v>3156.192021104688</v>
      </c>
      <c r="Q19" s="15"/>
      <c r="R19" s="16">
        <f t="shared" si="5"/>
        <v>3984.4838181841237</v>
      </c>
      <c r="T19" s="2"/>
      <c r="U19" s="2"/>
      <c r="AB19" s="2"/>
      <c r="AC19" s="2"/>
    </row>
    <row r="20" spans="1:29" ht="12.75" customHeight="1">
      <c r="A20" s="50">
        <f>IF($Q$5&gt;3,"brak",1800)</f>
        <v>1800</v>
      </c>
      <c r="B20" s="17">
        <f t="shared" si="0"/>
        <v>1108.7481731509074</v>
      </c>
      <c r="C20" s="15"/>
      <c r="D20" s="15">
        <f t="shared" si="1"/>
        <v>1554.2249626843586</v>
      </c>
      <c r="E20" s="15"/>
      <c r="F20" s="16">
        <f t="shared" si="1"/>
        <v>1978.0621640998422</v>
      </c>
      <c r="G20" s="50">
        <f>IF($Q$5&gt;3,"",1800)</f>
        <v>1800</v>
      </c>
      <c r="H20" s="17">
        <f t="shared" si="2"/>
        <v>1856.4081531562458</v>
      </c>
      <c r="I20" s="15"/>
      <c r="J20" s="15">
        <f t="shared" si="3"/>
        <v>2529.8239411637783</v>
      </c>
      <c r="K20" s="15"/>
      <c r="L20" s="16">
        <f t="shared" si="3"/>
        <v>3173.467468892269</v>
      </c>
      <c r="M20" s="50">
        <f>IF($Q$5&gt;3,"",1800)</f>
        <v>1800</v>
      </c>
      <c r="N20" s="17">
        <f t="shared" si="4"/>
        <v>2528.509943206157</v>
      </c>
      <c r="O20" s="15"/>
      <c r="P20" s="15">
        <f t="shared" si="5"/>
        <v>3527.3599527823053</v>
      </c>
      <c r="Q20" s="15"/>
      <c r="R20" s="16">
        <f t="shared" si="5"/>
        <v>4454.492706664768</v>
      </c>
      <c r="T20" s="2"/>
      <c r="U20" s="2"/>
      <c r="AB20" s="2"/>
      <c r="AC20" s="2"/>
    </row>
    <row r="21" spans="1:29" ht="12.75" customHeight="1">
      <c r="A21" s="52">
        <f>IF($Q$5&gt;3,"brak",2000)</f>
        <v>2000</v>
      </c>
      <c r="B21" s="55">
        <f t="shared" si="0"/>
        <v>1214.6871926984709</v>
      </c>
      <c r="C21" s="53"/>
      <c r="D21" s="53">
        <f t="shared" si="1"/>
        <v>1706.94360086898</v>
      </c>
      <c r="E21" s="53"/>
      <c r="F21" s="54">
        <f t="shared" si="1"/>
        <v>2175.643340715932</v>
      </c>
      <c r="G21" s="52">
        <f>IF($Q$5&gt;3,"",2000)</f>
        <v>2000</v>
      </c>
      <c r="H21" s="55">
        <f t="shared" si="2"/>
        <v>2045.495727150226</v>
      </c>
      <c r="I21" s="53"/>
      <c r="J21" s="53">
        <f t="shared" si="3"/>
        <v>2790.1326936502082</v>
      </c>
      <c r="K21" s="53"/>
      <c r="L21" s="54">
        <f t="shared" si="3"/>
        <v>3502.8705902644015</v>
      </c>
      <c r="M21" s="52">
        <f>IF($Q$5&gt;3,"",2000)</f>
        <v>2000</v>
      </c>
      <c r="N21" s="55">
        <f t="shared" si="4"/>
        <v>2791.106209345341</v>
      </c>
      <c r="O21" s="53"/>
      <c r="P21" s="53">
        <f t="shared" si="5"/>
        <v>3898.527884459922</v>
      </c>
      <c r="Q21" s="53"/>
      <c r="R21" s="54">
        <f t="shared" si="5"/>
        <v>4924.501595145414</v>
      </c>
      <c r="T21" s="2"/>
      <c r="U21" s="2"/>
      <c r="AB21" s="2"/>
      <c r="AC21" s="2"/>
    </row>
    <row r="22" spans="1:29" ht="12.75" customHeight="1">
      <c r="A22" s="50">
        <f>IF($Q$5&gt;3,"brak",2300)</f>
        <v>2300</v>
      </c>
      <c r="B22" s="17">
        <f t="shared" si="0"/>
        <v>1373.5957220198165</v>
      </c>
      <c r="C22" s="15"/>
      <c r="D22" s="15">
        <f t="shared" si="1"/>
        <v>1936.0215581459115</v>
      </c>
      <c r="E22" s="15"/>
      <c r="F22" s="16">
        <f t="shared" si="1"/>
        <v>2472.015105640067</v>
      </c>
      <c r="G22" s="50">
        <f>IF($Q$5&gt;3,"",2300)</f>
        <v>2300</v>
      </c>
      <c r="H22" s="17">
        <f t="shared" si="2"/>
        <v>2329.1270881411956</v>
      </c>
      <c r="I22" s="15"/>
      <c r="J22" s="15">
        <f t="shared" si="3"/>
        <v>3180.595822379853</v>
      </c>
      <c r="K22" s="15"/>
      <c r="L22" s="16">
        <f t="shared" si="3"/>
        <v>3996.9752723225993</v>
      </c>
      <c r="M22" s="50">
        <f>IF($Q$5&gt;3,"",2300)</f>
        <v>2300</v>
      </c>
      <c r="N22" s="17">
        <f t="shared" si="4"/>
        <v>3185.000608554117</v>
      </c>
      <c r="O22" s="15"/>
      <c r="P22" s="15">
        <f t="shared" si="5"/>
        <v>4455.279781976347</v>
      </c>
      <c r="Q22" s="15"/>
      <c r="R22" s="16">
        <f t="shared" si="5"/>
        <v>5629.514927866382</v>
      </c>
      <c r="T22" s="2"/>
      <c r="U22" s="2"/>
      <c r="AB22" s="2"/>
      <c r="AC22" s="9"/>
    </row>
    <row r="23" spans="1:29" ht="12.75" customHeight="1">
      <c r="A23" s="50">
        <f>IF($Q$5&gt;4,"brak",2600)</f>
        <v>2600</v>
      </c>
      <c r="B23" s="17">
        <f t="shared" si="0"/>
        <v>1532.504251341162</v>
      </c>
      <c r="C23" s="15"/>
      <c r="D23" s="15">
        <f t="shared" si="1"/>
        <v>2165.099515422843</v>
      </c>
      <c r="E23" s="15"/>
      <c r="F23" s="16">
        <f t="shared" si="1"/>
        <v>2768.3868705642017</v>
      </c>
      <c r="G23" s="50">
        <f>IF($Q$5&gt;4,"",2600)</f>
        <v>2600</v>
      </c>
      <c r="H23" s="17">
        <f t="shared" si="2"/>
        <v>2612.758449132166</v>
      </c>
      <c r="I23" s="15"/>
      <c r="J23" s="15">
        <f t="shared" si="3"/>
        <v>3571.058951109498</v>
      </c>
      <c r="K23" s="15"/>
      <c r="L23" s="16">
        <f t="shared" si="3"/>
        <v>4491.079954380798</v>
      </c>
      <c r="M23" s="50">
        <f>IF($Q$5&gt;4,"",2600)</f>
        <v>2600</v>
      </c>
      <c r="N23" s="17">
        <f t="shared" si="4"/>
        <v>3578.8950077628933</v>
      </c>
      <c r="O23" s="15"/>
      <c r="P23" s="15">
        <f t="shared" si="5"/>
        <v>5012.031679492773</v>
      </c>
      <c r="Q23" s="15"/>
      <c r="R23" s="16">
        <f t="shared" si="5"/>
        <v>6334.52826058735</v>
      </c>
      <c r="T23" s="2"/>
      <c r="U23" s="2"/>
      <c r="AB23" s="2"/>
      <c r="AC23" s="2"/>
    </row>
    <row r="24" spans="1:29" ht="12.75" customHeight="1">
      <c r="A24" s="51">
        <f>IF($Q$5&gt;4,"brak",3000)</f>
        <v>3000</v>
      </c>
      <c r="B24" s="20">
        <f t="shared" si="0"/>
        <v>1744.3822904362894</v>
      </c>
      <c r="C24" s="18"/>
      <c r="D24" s="18">
        <f t="shared" si="1"/>
        <v>2470.5367917920853</v>
      </c>
      <c r="E24" s="18"/>
      <c r="F24" s="19">
        <f t="shared" si="1"/>
        <v>3163.5492237963813</v>
      </c>
      <c r="G24" s="51">
        <f>IF($Q$5&gt;4,"",3000)</f>
        <v>3000</v>
      </c>
      <c r="H24" s="20">
        <f t="shared" si="2"/>
        <v>2990.9335971201263</v>
      </c>
      <c r="I24" s="18"/>
      <c r="J24" s="18">
        <f t="shared" si="3"/>
        <v>4091.676456082358</v>
      </c>
      <c r="K24" s="18"/>
      <c r="L24" s="19">
        <f t="shared" si="3"/>
        <v>5149.886197125062</v>
      </c>
      <c r="M24" s="51">
        <f>IF($Q$5&gt;4,"",3000)</f>
        <v>3000</v>
      </c>
      <c r="N24" s="20">
        <f t="shared" si="4"/>
        <v>4104.087540041262</v>
      </c>
      <c r="O24" s="18"/>
      <c r="P24" s="18">
        <f t="shared" si="5"/>
        <v>5754.367542848007</v>
      </c>
      <c r="Q24" s="18"/>
      <c r="R24" s="19">
        <f t="shared" si="5"/>
        <v>7274.546037548641</v>
      </c>
      <c r="T24" s="2"/>
      <c r="U24" s="2"/>
      <c r="AB24" s="2"/>
      <c r="AC24" s="9"/>
    </row>
    <row r="25" spans="1:29" ht="12.75" customHeight="1">
      <c r="A25" s="3"/>
      <c r="C25" s="8"/>
      <c r="E25" s="159">
        <f>IF($N$5&lt;1,"",IF(MIN(B28,C28,D28,E28,F28,H28,I28,J28,K28,L28,N28,O28,P28,Q28,R28)&lt;($H$5-8),"X-Uwaga! Bardzo niska temperatura nawiewu",""))</f>
      </c>
      <c r="F25" s="159"/>
      <c r="G25" s="159"/>
      <c r="H25" s="159"/>
      <c r="I25" s="159"/>
      <c r="J25" s="159"/>
      <c r="K25" s="159"/>
      <c r="M25" s="161" t="str">
        <f>IF($N$5&lt;1,"",IF(MIN(B28,C28,D28,E28,F28,H28,I28,J28,K28,L28,N28,O28,P28,Q28,R28)&lt;($H$5-2),"X-Uwaga! Niska temperatura nawiewu ",""))</f>
        <v>X-Uwaga! Niska temperatura nawiewu </v>
      </c>
      <c r="N25" s="161"/>
      <c r="O25" s="161"/>
      <c r="P25" s="161"/>
      <c r="Q25" s="161"/>
      <c r="R25" s="161"/>
      <c r="T25" s="2"/>
      <c r="U25" s="2"/>
      <c r="AB25" s="2"/>
      <c r="AC25" s="9"/>
    </row>
    <row r="26" spans="1:29" ht="12.75" customHeight="1">
      <c r="A26" s="3" t="s">
        <v>58</v>
      </c>
      <c r="C26" s="147"/>
      <c r="E26" s="160"/>
      <c r="F26" s="160"/>
      <c r="G26" s="160"/>
      <c r="H26" s="160"/>
      <c r="I26" s="160"/>
      <c r="J26" s="160"/>
      <c r="K26" s="160"/>
      <c r="M26" s="162"/>
      <c r="N26" s="162"/>
      <c r="O26" s="162"/>
      <c r="P26" s="162"/>
      <c r="Q26" s="162"/>
      <c r="R26" s="162"/>
      <c r="T26" s="2"/>
      <c r="U26" s="2"/>
      <c r="AB26" s="2"/>
      <c r="AC26" s="2"/>
    </row>
    <row r="27" spans="1:29" ht="12.75" customHeight="1">
      <c r="A27" s="21"/>
      <c r="B27" s="10">
        <v>300</v>
      </c>
      <c r="C27" s="10"/>
      <c r="D27" s="10">
        <v>450</v>
      </c>
      <c r="E27" s="10"/>
      <c r="F27" s="10">
        <v>600</v>
      </c>
      <c r="G27" s="56"/>
      <c r="H27" s="10">
        <v>300</v>
      </c>
      <c r="I27" s="10"/>
      <c r="J27" s="10">
        <v>450</v>
      </c>
      <c r="K27" s="10"/>
      <c r="L27" s="10">
        <v>600</v>
      </c>
      <c r="M27" s="154"/>
      <c r="N27" s="10">
        <v>300</v>
      </c>
      <c r="O27" s="10"/>
      <c r="P27" s="10">
        <v>450</v>
      </c>
      <c r="Q27" s="10"/>
      <c r="R27" s="11">
        <v>600</v>
      </c>
      <c r="T27" s="2"/>
      <c r="U27" s="2"/>
      <c r="AB27" s="2"/>
      <c r="AC27" s="2"/>
    </row>
    <row r="28" spans="1:29" ht="12.75" customHeight="1">
      <c r="A28" s="26" t="s">
        <v>62</v>
      </c>
      <c r="B28" s="27">
        <f>IF(Q5&lt;1,0,(B$42*(B$44+273)+B$43*(B$45+273))/(B$42+B$43)-273)</f>
        <v>12.239109872609674</v>
      </c>
      <c r="C28" s="27"/>
      <c r="D28" s="27">
        <f>IF(Q5&lt;1,0,(D$42*(D$44+273)+D$43*(D$45+273))/(D$42+D$43)-273)</f>
        <v>20.21265040849312</v>
      </c>
      <c r="E28" s="27"/>
      <c r="F28" s="27">
        <f>IF(Q5&lt;1,0,(F$42*(F$44+273)+F$43*(F$45+273))/(F$42+F$43)-273)</f>
        <v>26.20629042925134</v>
      </c>
      <c r="G28" s="26" t="s">
        <v>62</v>
      </c>
      <c r="H28" s="27">
        <f>IF(Q5&lt;1,0,(H$42*(H$44+273)+H$43*(H$45+273))/(H$42+H$43)-273)</f>
        <v>26.65221053163475</v>
      </c>
      <c r="I28" s="27"/>
      <c r="J28" s="27">
        <f>IF(Q5&lt;1,0,(J$42*(J$44+273)+J$43*(J$45+273))/(J$42+J$43)-273)</f>
        <v>37.524765758501985</v>
      </c>
      <c r="K28" s="27"/>
      <c r="L28" s="27">
        <f>IF(Q5&lt;1,0,(L$42*(L$44+273)+L$43*(L$45+273))/(L$42+L$43)-273)</f>
        <v>45.67689167163587</v>
      </c>
      <c r="M28" s="26" t="s">
        <v>62</v>
      </c>
      <c r="N28" s="27">
        <f>IF(Q5&lt;1,0,(N$42*(N$44+273)+N$43*(N$45+273))/(N$42+N$43)-273)</f>
        <v>26.65221053163475</v>
      </c>
      <c r="O28" s="27"/>
      <c r="P28" s="27">
        <f>IF(Q5&lt;1,0,(P$42*(P$44+273)+P$43*(P$45+273))/(P$42+P$43)-273)</f>
        <v>37.524765758501985</v>
      </c>
      <c r="Q28" s="27"/>
      <c r="R28" s="28">
        <f>IF(Q5&lt;1,0,(R$42*(R$44+273)+R$43*(R$45+273))/(R$42+R$43)-273)</f>
        <v>45.67689167163587</v>
      </c>
      <c r="T28" s="2"/>
      <c r="U28" s="2"/>
      <c r="AB28" s="2"/>
      <c r="AC28" s="2"/>
    </row>
    <row r="29" spans="1:29" ht="12.75" customHeight="1">
      <c r="A29" s="29"/>
      <c r="B29" s="124">
        <f>IF(B28&lt;($H$5-8),"X","")</f>
      </c>
      <c r="C29" s="124"/>
      <c r="D29" s="124">
        <f aca="true" t="shared" si="6" ref="D29:R29">IF(D28&lt;($H$5-8),"X","")</f>
      </c>
      <c r="E29" s="124"/>
      <c r="F29" s="124">
        <f t="shared" si="6"/>
      </c>
      <c r="G29" s="124">
        <f t="shared" si="6"/>
      </c>
      <c r="H29" s="124">
        <f t="shared" si="6"/>
      </c>
      <c r="I29" s="124"/>
      <c r="J29" s="124">
        <f t="shared" si="6"/>
      </c>
      <c r="K29" s="124"/>
      <c r="L29" s="124">
        <f t="shared" si="6"/>
      </c>
      <c r="M29" s="124">
        <f t="shared" si="6"/>
      </c>
      <c r="N29" s="124">
        <f t="shared" si="6"/>
      </c>
      <c r="O29" s="124"/>
      <c r="P29" s="124">
        <f t="shared" si="6"/>
      </c>
      <c r="Q29" s="124"/>
      <c r="R29" s="124">
        <f t="shared" si="6"/>
      </c>
      <c r="T29" s="2"/>
      <c r="U29" s="2"/>
      <c r="AB29" s="2"/>
      <c r="AC29" s="2"/>
    </row>
    <row r="30" spans="1:29" ht="12.75" customHeight="1">
      <c r="A30" s="29"/>
      <c r="B30" s="125" t="str">
        <f>IF(B28&lt;($H$5-2),"X","")</f>
        <v>X</v>
      </c>
      <c r="C30" s="125"/>
      <c r="D30" s="125">
        <f>IF(D28&lt;($H$5-2),"X","")</f>
      </c>
      <c r="E30" s="125"/>
      <c r="F30" s="125">
        <f>IF(F28&lt;($H$5-2),"X","")</f>
      </c>
      <c r="G30" s="125"/>
      <c r="H30" s="125">
        <f>IF(H28&lt;($H$5-2),"X","")</f>
      </c>
      <c r="I30" s="125"/>
      <c r="J30" s="125">
        <f>IF(J28&lt;($H$5-2),"X","")</f>
      </c>
      <c r="K30" s="125"/>
      <c r="L30" s="125">
        <f>IF(L28&lt;($H$5-2),"X","")</f>
      </c>
      <c r="M30" s="125"/>
      <c r="N30" s="125">
        <f>IF(N28&lt;($H$5-2),"X","")</f>
      </c>
      <c r="O30" s="125"/>
      <c r="P30" s="125">
        <f>IF(P28&lt;($H$5-2),"X","")</f>
      </c>
      <c r="Q30" s="125"/>
      <c r="R30" s="125">
        <f>IF(R28&lt;($H$5-2),"X","")</f>
      </c>
      <c r="T30" s="2"/>
      <c r="U30" s="2"/>
      <c r="AB30" s="2"/>
      <c r="AC30" s="2"/>
    </row>
    <row r="31" spans="1:29" ht="12.75" customHeight="1" hidden="1">
      <c r="A31" s="30" t="s">
        <v>0</v>
      </c>
      <c r="B31" s="30"/>
      <c r="C31" s="30"/>
      <c r="D31" s="30"/>
      <c r="E31" s="30"/>
      <c r="F31" s="30"/>
      <c r="G31" s="30" t="s">
        <v>22</v>
      </c>
      <c r="H31" s="30"/>
      <c r="I31" s="30"/>
      <c r="J31" s="30"/>
      <c r="K31" s="30"/>
      <c r="L31" s="30"/>
      <c r="M31" s="30" t="s">
        <v>23</v>
      </c>
      <c r="N31" s="30"/>
      <c r="O31" s="30"/>
      <c r="P31" s="30"/>
      <c r="Q31" s="30"/>
      <c r="R31" s="30"/>
      <c r="S31" s="2"/>
      <c r="T31" s="2"/>
      <c r="U31" s="2"/>
      <c r="AB31" s="2"/>
      <c r="AC31" s="2"/>
    </row>
    <row r="32" spans="1:29" ht="12.75" customHeight="1" hidden="1">
      <c r="A32" s="29" t="s">
        <v>15</v>
      </c>
      <c r="B32" s="111">
        <v>10.9231</v>
      </c>
      <c r="C32" s="112" t="s">
        <v>1</v>
      </c>
      <c r="D32" s="113">
        <v>0.91848</v>
      </c>
      <c r="E32" s="112" t="s">
        <v>2</v>
      </c>
      <c r="F32" s="113">
        <v>1.27936</v>
      </c>
      <c r="G32" s="29" t="s">
        <v>15</v>
      </c>
      <c r="H32" s="111">
        <v>13.6077</v>
      </c>
      <c r="I32" s="112" t="s">
        <v>1</v>
      </c>
      <c r="J32" s="113">
        <v>0.71525</v>
      </c>
      <c r="K32" s="112" t="s">
        <v>2</v>
      </c>
      <c r="L32" s="113">
        <v>1.29017</v>
      </c>
      <c r="M32" s="29" t="s">
        <v>15</v>
      </c>
      <c r="N32" s="111">
        <v>20.6183</v>
      </c>
      <c r="O32" s="112" t="s">
        <v>1</v>
      </c>
      <c r="P32" s="113">
        <v>0.93341</v>
      </c>
      <c r="Q32" s="112" t="s">
        <v>2</v>
      </c>
      <c r="R32" s="113">
        <v>1.36684</v>
      </c>
      <c r="U32" s="2"/>
      <c r="AB32" s="2"/>
      <c r="AC32" s="2"/>
    </row>
    <row r="33" spans="1:29" ht="12.75" customHeight="1" hidden="1">
      <c r="A33" s="29"/>
      <c r="B33" s="111"/>
      <c r="C33" s="112"/>
      <c r="D33" s="113"/>
      <c r="E33" s="112" t="s">
        <v>3</v>
      </c>
      <c r="F33" s="113">
        <v>-0.01139</v>
      </c>
      <c r="G33" s="30"/>
      <c r="H33" s="30"/>
      <c r="I33" s="30"/>
      <c r="J33" s="30"/>
      <c r="K33" s="112" t="s">
        <v>3</v>
      </c>
      <c r="L33" s="113">
        <v>0.05057</v>
      </c>
      <c r="M33" s="59"/>
      <c r="N33" s="59"/>
      <c r="O33" s="59"/>
      <c r="P33" s="59"/>
      <c r="Q33" s="112" t="s">
        <v>3</v>
      </c>
      <c r="R33" s="113">
        <v>-0.05531</v>
      </c>
      <c r="S33" s="2"/>
      <c r="T33" s="2"/>
      <c r="U33" s="2"/>
      <c r="V33" s="30"/>
      <c r="W33" s="25"/>
      <c r="X33" s="25"/>
      <c r="Y33" s="25"/>
      <c r="Z33" s="25"/>
      <c r="AA33" s="25"/>
      <c r="AB33" s="2"/>
      <c r="AC33" s="2"/>
    </row>
    <row r="34" spans="1:29" ht="12.75" customHeight="1" hidden="1">
      <c r="A34" s="30" t="s">
        <v>4</v>
      </c>
      <c r="B34" s="30"/>
      <c r="C34" s="30"/>
      <c r="D34" s="30"/>
      <c r="E34" s="30"/>
      <c r="F34" s="30"/>
      <c r="G34" s="30" t="s">
        <v>25</v>
      </c>
      <c r="H34" s="30"/>
      <c r="I34" s="30"/>
      <c r="J34" s="30"/>
      <c r="K34" s="30"/>
      <c r="L34" s="59"/>
      <c r="M34" s="30" t="s">
        <v>24</v>
      </c>
      <c r="N34" s="30"/>
      <c r="O34" s="30"/>
      <c r="P34" s="30"/>
      <c r="Q34" s="30"/>
      <c r="R34" s="59"/>
      <c r="S34" s="9"/>
      <c r="T34" s="2"/>
      <c r="U34" s="2"/>
      <c r="V34" s="2"/>
      <c r="W34" s="8"/>
      <c r="X34" s="8"/>
      <c r="Y34" s="8"/>
      <c r="Z34" s="8"/>
      <c r="AA34" s="8"/>
      <c r="AB34" s="2"/>
      <c r="AC34" s="2"/>
    </row>
    <row r="35" spans="1:29" ht="12.75" customHeight="1" hidden="1">
      <c r="A35" s="29" t="s">
        <v>14</v>
      </c>
      <c r="B35" s="30">
        <v>4.8444</v>
      </c>
      <c r="C35" s="29" t="s">
        <v>5</v>
      </c>
      <c r="D35" s="30">
        <v>0.89189</v>
      </c>
      <c r="E35" s="29" t="s">
        <v>6</v>
      </c>
      <c r="F35" s="30">
        <v>1.25776</v>
      </c>
      <c r="G35" s="29" t="s">
        <v>14</v>
      </c>
      <c r="H35" s="30">
        <v>5.93046</v>
      </c>
      <c r="I35" s="29" t="s">
        <v>5</v>
      </c>
      <c r="J35" s="30">
        <v>0.80213</v>
      </c>
      <c r="K35" s="29" t="s">
        <v>6</v>
      </c>
      <c r="L35" s="30">
        <v>1.29719</v>
      </c>
      <c r="M35" s="29" t="s">
        <v>14</v>
      </c>
      <c r="N35" s="30">
        <v>9.88555</v>
      </c>
      <c r="O35" s="29" t="s">
        <v>5</v>
      </c>
      <c r="P35" s="30">
        <v>0.85947</v>
      </c>
      <c r="Q35" s="29" t="s">
        <v>6</v>
      </c>
      <c r="R35" s="30">
        <v>1.34113</v>
      </c>
      <c r="U35" s="3"/>
      <c r="V35" s="2"/>
      <c r="W35" s="8"/>
      <c r="X35" s="8"/>
      <c r="Y35" s="8"/>
      <c r="Z35" s="8"/>
      <c r="AA35" s="8"/>
      <c r="AB35" s="2"/>
      <c r="AC35" s="2"/>
    </row>
    <row r="36" spans="1:29" ht="12.75" customHeight="1" hidden="1">
      <c r="A36" s="29" t="s">
        <v>8</v>
      </c>
      <c r="B36" s="30">
        <v>4.6906</v>
      </c>
      <c r="C36" s="29" t="s">
        <v>12</v>
      </c>
      <c r="D36" s="30">
        <v>0.50015</v>
      </c>
      <c r="E36" s="29" t="s">
        <v>3</v>
      </c>
      <c r="F36" s="30">
        <v>0.70514</v>
      </c>
      <c r="G36" s="29" t="s">
        <v>8</v>
      </c>
      <c r="H36" s="30">
        <v>3.21447</v>
      </c>
      <c r="I36" s="29" t="s">
        <v>12</v>
      </c>
      <c r="J36" s="30">
        <v>0.53828</v>
      </c>
      <c r="K36" s="29" t="s">
        <v>3</v>
      </c>
      <c r="L36" s="30">
        <v>0.97848</v>
      </c>
      <c r="M36" s="29" t="s">
        <v>8</v>
      </c>
      <c r="N36" s="30">
        <v>3.21447</v>
      </c>
      <c r="O36" s="29" t="s">
        <v>12</v>
      </c>
      <c r="P36" s="30">
        <v>0.53828</v>
      </c>
      <c r="Q36" s="29" t="s">
        <v>3</v>
      </c>
      <c r="R36" s="30">
        <v>0.97848</v>
      </c>
      <c r="U36" s="3"/>
      <c r="V36" s="2"/>
      <c r="W36" s="8"/>
      <c r="X36" s="8"/>
      <c r="Y36" s="8"/>
      <c r="Z36" s="8"/>
      <c r="AA36" s="8"/>
      <c r="AB36" s="2"/>
      <c r="AC36" s="2"/>
    </row>
    <row r="37" spans="1:29" ht="12.75" customHeight="1" hidden="1">
      <c r="A37" s="29"/>
      <c r="B37" s="30"/>
      <c r="C37" s="29"/>
      <c r="D37" s="30"/>
      <c r="E37" s="29" t="s">
        <v>9</v>
      </c>
      <c r="F37" s="30">
        <v>0.58338</v>
      </c>
      <c r="G37" s="29"/>
      <c r="H37" s="30"/>
      <c r="I37" s="59"/>
      <c r="J37" s="30"/>
      <c r="K37" s="29" t="s">
        <v>9</v>
      </c>
      <c r="L37" s="30">
        <v>0.52763</v>
      </c>
      <c r="M37" s="30"/>
      <c r="N37" s="60"/>
      <c r="O37" s="30"/>
      <c r="P37" s="85"/>
      <c r="Q37" s="29" t="s">
        <v>9</v>
      </c>
      <c r="R37" s="30">
        <v>0.52763</v>
      </c>
      <c r="S37" s="8"/>
      <c r="T37" s="2"/>
      <c r="U37" s="3"/>
      <c r="V37" s="2"/>
      <c r="W37" s="8"/>
      <c r="X37" s="8"/>
      <c r="Y37" s="8"/>
      <c r="Z37" s="8"/>
      <c r="AA37" s="8"/>
      <c r="AB37" s="2"/>
      <c r="AC37" s="2"/>
    </row>
    <row r="38" spans="1:29" ht="12.75" customHeight="1" hidden="1">
      <c r="A38" s="114" t="s">
        <v>13</v>
      </c>
      <c r="B38" s="59">
        <v>2.10863</v>
      </c>
      <c r="C38" s="114" t="s">
        <v>10</v>
      </c>
      <c r="D38" s="59">
        <v>0.96696</v>
      </c>
      <c r="E38" s="114" t="s">
        <v>11</v>
      </c>
      <c r="F38" s="59">
        <v>1.35675</v>
      </c>
      <c r="G38" s="114" t="s">
        <v>13</v>
      </c>
      <c r="H38" s="59">
        <v>1.99223</v>
      </c>
      <c r="I38" s="114" t="s">
        <v>10</v>
      </c>
      <c r="J38" s="59">
        <v>1.21274</v>
      </c>
      <c r="K38" s="114" t="s">
        <v>11</v>
      </c>
      <c r="L38" s="59">
        <v>1.40911</v>
      </c>
      <c r="M38" s="114" t="s">
        <v>13</v>
      </c>
      <c r="N38" s="59">
        <v>1.99223</v>
      </c>
      <c r="O38" s="114" t="s">
        <v>10</v>
      </c>
      <c r="P38" s="59">
        <v>1.21274</v>
      </c>
      <c r="Q38" s="114" t="s">
        <v>11</v>
      </c>
      <c r="R38" s="59">
        <v>1.40911</v>
      </c>
      <c r="S38" s="8"/>
      <c r="T38" s="2"/>
      <c r="U38" s="2"/>
      <c r="V38" s="2"/>
      <c r="W38" s="8"/>
      <c r="X38" s="8"/>
      <c r="Y38" s="8"/>
      <c r="Z38" s="8"/>
      <c r="AA38" s="8"/>
      <c r="AB38" s="2"/>
      <c r="AC38" s="2"/>
    </row>
    <row r="39" spans="1:29" ht="12.75" customHeight="1" hidden="1">
      <c r="A39" s="30"/>
      <c r="B39" s="85">
        <v>300</v>
      </c>
      <c r="C39" s="85">
        <v>400</v>
      </c>
      <c r="D39" s="85">
        <v>450</v>
      </c>
      <c r="E39" s="85">
        <v>500</v>
      </c>
      <c r="F39" s="85">
        <v>600</v>
      </c>
      <c r="G39" s="30"/>
      <c r="H39" s="85">
        <v>300</v>
      </c>
      <c r="I39" s="85">
        <v>400</v>
      </c>
      <c r="J39" s="85">
        <v>450</v>
      </c>
      <c r="K39" s="85">
        <v>500</v>
      </c>
      <c r="L39" s="85">
        <v>600</v>
      </c>
      <c r="M39" s="30"/>
      <c r="N39" s="85">
        <v>300</v>
      </c>
      <c r="O39" s="85">
        <v>400</v>
      </c>
      <c r="P39" s="85">
        <v>450</v>
      </c>
      <c r="Q39" s="85">
        <v>500</v>
      </c>
      <c r="R39" s="85">
        <v>600</v>
      </c>
      <c r="S39" s="8"/>
      <c r="T39" s="2"/>
      <c r="U39" s="2"/>
      <c r="AB39" s="2"/>
      <c r="AC39" s="2"/>
    </row>
    <row r="40" spans="1:29" ht="12.75" customHeight="1" hidden="1">
      <c r="A40" s="29" t="s">
        <v>20</v>
      </c>
      <c r="B40" s="25">
        <f>$B$36*$N$5^$F$37*$N$7^$F$36*(B$39/1000)^$D$36</f>
        <v>234.84951931096595</v>
      </c>
      <c r="C40" s="25">
        <f>$B$36*$N$5^$F$37*$N$7^$F$36*(C$39/1000)^$D$36</f>
        <v>271.1925687200181</v>
      </c>
      <c r="D40" s="25">
        <f>$B$36*$N$5^$F$37*$N$7^$F$36*(D$39/1000)^$D$36</f>
        <v>287.6482384915021</v>
      </c>
      <c r="E40" s="25">
        <f>$B$36*$N$5^$F$37*$N$7^$F$36*(E$39/1000)^$D$36</f>
        <v>303.2126581479239</v>
      </c>
      <c r="F40" s="25">
        <f>$B$36*$N$5^$F$37*$N$7^$F$36*(F$39/1000)^$D$36</f>
        <v>332.16190909468196</v>
      </c>
      <c r="G40" s="29" t="s">
        <v>20</v>
      </c>
      <c r="H40" s="25">
        <f>$H$36*$K$2^$L$37*$L$2^$L$36*(H$39/1000)^$J$36</f>
        <v>462.4168393568817</v>
      </c>
      <c r="I40" s="25">
        <f>$H$36*$K$2^$L$37*$L$2^$L$36*(I$39/1000)^$J$36</f>
        <v>539.8656109361988</v>
      </c>
      <c r="J40" s="25">
        <f>$H$36*$K$2^$L$37*$L$2^$L$36*(J$39/1000)^$J$36</f>
        <v>575.2015449748917</v>
      </c>
      <c r="K40" s="25">
        <f>$H$36*$K$2^$L$37*$L$2^$L$36*(K$39/1000)^$J$36</f>
        <v>608.765995940244</v>
      </c>
      <c r="L40" s="25">
        <f>$H$36*$K$2^$L$37*$L$2^$L$36*(L$39/1000)^$J$36</f>
        <v>671.540279374763</v>
      </c>
      <c r="M40" s="29" t="s">
        <v>20</v>
      </c>
      <c r="N40" s="25">
        <f>$N$36*$Q$2^$R$37*$R$2^$R$36*(N$39/1000)^$P$36</f>
        <v>462.4168393568817</v>
      </c>
      <c r="O40" s="25">
        <f>$N$36*$Q$2^$R$37*$R$2^$R$36*(O$39/1000)^$P$36</f>
        <v>539.8656109361988</v>
      </c>
      <c r="P40" s="25">
        <f>$N$36*$Q$2^$R$37*$R$2^$R$36*(P$39/1000)^$P$36</f>
        <v>575.2015449748917</v>
      </c>
      <c r="Q40" s="25">
        <f>$N$36*$Q$2^$R$37*$R$2^$R$36*(Q$39/1000)^$P$36</f>
        <v>608.765995940244</v>
      </c>
      <c r="R40" s="25">
        <f>$N$36*$Q$2^$R$37*$R$2^$R$36*(R$39/1000)^$P$36</f>
        <v>671.540279374763</v>
      </c>
      <c r="S40" s="8"/>
      <c r="T40" s="2"/>
      <c r="U40" s="2"/>
      <c r="AB40" s="2"/>
      <c r="AC40" s="2"/>
    </row>
    <row r="41" spans="1:29" ht="12.75" customHeight="1" hidden="1">
      <c r="A41" s="29" t="s">
        <v>21</v>
      </c>
      <c r="B41" s="37">
        <f>$B$38*(B$39/1000)^$D$38*$K$7^$F$38</f>
        <v>132.28251475418628</v>
      </c>
      <c r="C41" s="37">
        <f>$B$38*(C$39/1000)^$D$38*$K$7^$F$38</f>
        <v>174.70816539155106</v>
      </c>
      <c r="D41" s="37">
        <f>$B$38*(D$39/1000)^$D$38*$K$7^$F$38</f>
        <v>195.78330085472592</v>
      </c>
      <c r="E41" s="37">
        <f>$B$38*(E$39/1000)^$D$38*$K$7^$F$38</f>
        <v>216.78104695109732</v>
      </c>
      <c r="F41" s="37">
        <f>$B$38*(F$39/1000)^$D$38*$K$7^$F$38</f>
        <v>258.5749248129468</v>
      </c>
      <c r="G41" s="29" t="s">
        <v>21</v>
      </c>
      <c r="H41" s="37">
        <f>$H$38*(H$39/1000)^$J$38*$L$1^$L$38</f>
        <v>114.08021713417997</v>
      </c>
      <c r="I41" s="37">
        <f>$H$38*(I$39/1000)^$J$38*$L$1^$L$38</f>
        <v>161.70689664825238</v>
      </c>
      <c r="J41" s="37">
        <f>$H$38*(J$39/1000)^$J$38*$L$1^$L$38</f>
        <v>186.5362546730521</v>
      </c>
      <c r="K41" s="37">
        <f>$H$38*(K$39/1000)^$J$38*$L$1^$L$38</f>
        <v>211.96062514635307</v>
      </c>
      <c r="L41" s="37">
        <f>$H$38*(L$39/1000)^$J$38*$L$1^$L$38</f>
        <v>264.41217954633186</v>
      </c>
      <c r="M41" s="29" t="s">
        <v>21</v>
      </c>
      <c r="N41" s="37">
        <f>$N$38*(N$39/1000)^$P$38*$R$1^$R$38</f>
        <v>114.08021713417997</v>
      </c>
      <c r="O41" s="37">
        <f>$N$38*(O$39/1000)^$P$38*$R$1^$R$38</f>
        <v>161.70689664825238</v>
      </c>
      <c r="P41" s="37">
        <f>$N$38*(P$39/1000)^$P$38*$R$1^$R$38</f>
        <v>186.5362546730521</v>
      </c>
      <c r="Q41" s="37">
        <f>$N$38*(Q$39/1000)^$P$38*$R$1^$R$38</f>
        <v>211.96062514635307</v>
      </c>
      <c r="R41" s="37">
        <f>$N$38*(R$39/1000)^$P$38*$R$1^$R$38</f>
        <v>264.41217954633186</v>
      </c>
      <c r="T41" s="2"/>
      <c r="U41" s="2"/>
      <c r="AB41" s="2"/>
      <c r="AC41" s="2"/>
    </row>
    <row r="42" spans="1:29" ht="12.75" customHeight="1" hidden="1">
      <c r="A42" s="114" t="s">
        <v>16</v>
      </c>
      <c r="B42" s="39">
        <f>$N$5</f>
        <v>10</v>
      </c>
      <c r="C42" s="39">
        <f>$N$5</f>
        <v>10</v>
      </c>
      <c r="D42" s="39">
        <f>$N$5</f>
        <v>10</v>
      </c>
      <c r="E42" s="39">
        <f>$N$5</f>
        <v>10</v>
      </c>
      <c r="F42" s="39">
        <f>$N$5</f>
        <v>10</v>
      </c>
      <c r="G42" s="114" t="s">
        <v>16</v>
      </c>
      <c r="H42" s="39">
        <f>$N$5</f>
        <v>10</v>
      </c>
      <c r="I42" s="39">
        <f>$N$5</f>
        <v>10</v>
      </c>
      <c r="J42" s="39">
        <f>$N$5</f>
        <v>10</v>
      </c>
      <c r="K42" s="39">
        <f>$N$5</f>
        <v>10</v>
      </c>
      <c r="L42" s="39">
        <f>$N$5</f>
        <v>10</v>
      </c>
      <c r="M42" s="114" t="s">
        <v>16</v>
      </c>
      <c r="N42" s="39">
        <f>$N$5</f>
        <v>10</v>
      </c>
      <c r="O42" s="39">
        <f>$N$5</f>
        <v>10</v>
      </c>
      <c r="P42" s="39">
        <f>$N$5</f>
        <v>10</v>
      </c>
      <c r="Q42" s="39">
        <f>$N$5</f>
        <v>10</v>
      </c>
      <c r="R42" s="39">
        <f>$N$5</f>
        <v>10</v>
      </c>
      <c r="T42" s="2"/>
      <c r="U42" s="2"/>
      <c r="AB42" s="2"/>
      <c r="AC42" s="2"/>
    </row>
    <row r="43" spans="1:29" ht="12.75" customHeight="1" hidden="1">
      <c r="A43" s="114" t="s">
        <v>17</v>
      </c>
      <c r="B43" s="40">
        <f>1.711*$K$7^0.4*(B$39/1000)^1.2*1.1</f>
        <v>2.1193106377176414</v>
      </c>
      <c r="C43" s="40">
        <f>1.711*$K$7^0.4*(C$39/1000)^1.2*1.1</f>
        <v>2.9930991387451846</v>
      </c>
      <c r="D43" s="40">
        <f>1.711*$K$7^0.4*(D$39/1000)^1.2*1.1</f>
        <v>3.4474988415056624</v>
      </c>
      <c r="E43" s="40">
        <f>1.711*$K$7^0.4*(E$39/1000)^1.2*1.1</f>
        <v>3.9121285553735494</v>
      </c>
      <c r="F43" s="40">
        <f>1.711*$K$7^0.4*(F$39/1000)^1.2*1.1</f>
        <v>4.868897286547944</v>
      </c>
      <c r="G43" s="114" t="s">
        <v>17</v>
      </c>
      <c r="H43" s="40">
        <f>1.686*$L$1^0.4*(H$39/1000)^1.2*1.1</f>
        <v>2.0883446728182014</v>
      </c>
      <c r="I43" s="40">
        <f>1.686*$L$1^0.4*(I$39/1000)^1.2*1.1</f>
        <v>2.949365954368428</v>
      </c>
      <c r="J43" s="40">
        <f>1.686*$L$1^0.4*(J$39/1000)^1.2*1.1</f>
        <v>3.397126269303651</v>
      </c>
      <c r="K43" s="40">
        <f>1.686*$L$1^0.4*(K$39/1000)^1.2*1.1</f>
        <v>3.8549671211921703</v>
      </c>
      <c r="L43" s="40">
        <f>1.686*$L$1^0.4*(L$39/1000)^1.2*1.1</f>
        <v>4.797756180666179</v>
      </c>
      <c r="M43" s="114" t="s">
        <v>17</v>
      </c>
      <c r="N43" s="40">
        <f>1.686*$R$1^0.4*(N$39/1000)^1.2*1.1</f>
        <v>2.0883446728182014</v>
      </c>
      <c r="O43" s="40">
        <f>1.686*$R$1^0.4*(O$39/1000)^1.2*1.1</f>
        <v>2.949365954368428</v>
      </c>
      <c r="P43" s="40">
        <f>1.686*$R$1^0.4*(P$39/1000)^1.2*1.1</f>
        <v>3.397126269303651</v>
      </c>
      <c r="Q43" s="40">
        <f>1.686*$R$1^0.4*(Q$39/1000)^1.2*1.1</f>
        <v>3.8549671211921703</v>
      </c>
      <c r="R43" s="40">
        <f>1.686*$R$1^0.4*(R$39/1000)^1.2*1.1</f>
        <v>4.797756180666179</v>
      </c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 customHeight="1" hidden="1">
      <c r="A44" s="114" t="s">
        <v>18</v>
      </c>
      <c r="B44" s="42">
        <f>B$40/(1.2*$N$5)+$K$5</f>
        <v>-0.4292067240861712</v>
      </c>
      <c r="C44" s="42">
        <f>C$40/(1.2*$N$5)+$K$5</f>
        <v>2.5993807266681728</v>
      </c>
      <c r="D44" s="42">
        <f>D$40/(1.2*$N$5)+$K$5</f>
        <v>3.9706865409585106</v>
      </c>
      <c r="E44" s="42">
        <f>E$40/(1.2*$N$5)+$K$5</f>
        <v>5.26772151232699</v>
      </c>
      <c r="F44" s="42">
        <f>F$40/(1.2*$N$5)+$K$5</f>
        <v>7.680159091223498</v>
      </c>
      <c r="G44" s="114" t="s">
        <v>18</v>
      </c>
      <c r="H44" s="42">
        <f>H$40/(1.2*$K$2)+$K$1</f>
        <v>18.534736613073477</v>
      </c>
      <c r="I44" s="42">
        <f>I$40/(1.2*$K$2)+$K$1</f>
        <v>24.988800911349898</v>
      </c>
      <c r="J44" s="42">
        <f>J$40/(1.2*$K$2)+$K$1</f>
        <v>27.933462081240975</v>
      </c>
      <c r="K44" s="42">
        <f>K$40/(1.2*$K$2)+$K$1</f>
        <v>30.730499661687</v>
      </c>
      <c r="L44" s="42">
        <f>L$40/(1.2*$K$2)+$K$1</f>
        <v>35.96168994789692</v>
      </c>
      <c r="M44" s="114" t="s">
        <v>18</v>
      </c>
      <c r="N44" s="42">
        <f>N$40/(1.2*$Q$2)+$Q$1</f>
        <v>18.534736613073477</v>
      </c>
      <c r="O44" s="42">
        <f>O$40/(1.2*$Q$2)+$Q$1</f>
        <v>24.988800911349898</v>
      </c>
      <c r="P44" s="42">
        <f>P$40/(1.2*$Q$2)+$Q$1</f>
        <v>27.933462081240975</v>
      </c>
      <c r="Q44" s="42">
        <f>Q$40/(1.2*$Q$2)+$Q$1</f>
        <v>30.730499661687</v>
      </c>
      <c r="R44" s="42">
        <f>R$40/(1.2*$Q$2)+$Q$1</f>
        <v>35.96168994789692</v>
      </c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 customHeight="1" hidden="1">
      <c r="A45" s="114" t="s">
        <v>19</v>
      </c>
      <c r="B45" s="40">
        <f>B$41/(1.2*B$43)+$H$5</f>
        <v>72.01475753480774</v>
      </c>
      <c r="C45" s="40">
        <f>C$41/(1.2*C$43)+$H$5</f>
        <v>68.64193636009304</v>
      </c>
      <c r="D45" s="40">
        <f>D$41/(1.2*D$43)+$H$5</f>
        <v>67.32496172239937</v>
      </c>
      <c r="E45" s="40">
        <f>E$41/(1.2*E$43)+$H$5</f>
        <v>66.17713091537155</v>
      </c>
      <c r="F45" s="40">
        <f>F$41/(1.2*F$43)+$H$5</f>
        <v>64.2562435248175</v>
      </c>
      <c r="G45" s="114" t="s">
        <v>19</v>
      </c>
      <c r="H45" s="40">
        <f>H$41/(1.2*H$43)+$J$3</f>
        <v>65.52258487269961</v>
      </c>
      <c r="I45" s="40">
        <f>I$41/(1.2*I$43)+$J$3</f>
        <v>65.68973443505195</v>
      </c>
      <c r="J45" s="40">
        <f>J$41/(1.2*J$43)+$J$3</f>
        <v>65.75834589924555</v>
      </c>
      <c r="K45" s="40">
        <f>K$41/(1.2*K$43)+$J$3</f>
        <v>65.81980824625103</v>
      </c>
      <c r="L45" s="40">
        <f>L$41/(1.2*L$43)+$J$3</f>
        <v>65.92636112756388</v>
      </c>
      <c r="M45" s="114" t="s">
        <v>19</v>
      </c>
      <c r="N45" s="40">
        <f>N$41/(1.2*N$43)+$P$3</f>
        <v>65.52258487269961</v>
      </c>
      <c r="O45" s="40">
        <f>O$41/(1.2*O$43)+$P$3</f>
        <v>65.68973443505195</v>
      </c>
      <c r="P45" s="40">
        <f>P$41/(1.2*P$43)+$P$3</f>
        <v>65.75834589924555</v>
      </c>
      <c r="Q45" s="40">
        <f>Q$41/(1.2*Q$43)+$P$3</f>
        <v>65.81980824625103</v>
      </c>
      <c r="R45" s="40">
        <f>R$41/(1.2*R$43)+$P$3</f>
        <v>65.92636112756388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55" s="63" customFormat="1" ht="12.7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N46" s="62" t="s">
        <v>57</v>
      </c>
      <c r="O46" s="62"/>
      <c r="P46" s="2"/>
      <c r="Q46" s="62"/>
      <c r="R46" s="62"/>
      <c r="U46" s="2"/>
      <c r="V46" s="2"/>
      <c r="W46" s="2"/>
      <c r="X46" s="2"/>
      <c r="Y46" s="2"/>
      <c r="Z46" s="2"/>
      <c r="AA46" s="3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62"/>
      <c r="AW46" s="62"/>
      <c r="AX46" s="62"/>
      <c r="AY46" s="62"/>
      <c r="AZ46" s="62"/>
      <c r="BA46" s="62"/>
      <c r="BB46" s="62"/>
      <c r="BC46" s="62"/>
    </row>
    <row r="47" spans="22:55" s="63" customFormat="1" ht="12.75" customHeight="1" hidden="1">
      <c r="V47" s="2"/>
      <c r="W47" s="2"/>
      <c r="X47" s="2"/>
      <c r="Y47" s="2"/>
      <c r="Z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62"/>
      <c r="AW47" s="62"/>
      <c r="AX47" s="62"/>
      <c r="AY47" s="62"/>
      <c r="AZ47" s="62"/>
      <c r="BA47" s="62"/>
      <c r="BB47" s="62"/>
      <c r="BC47" s="62"/>
    </row>
    <row r="48" spans="22:55" s="63" customFormat="1" ht="12.75" customHeight="1" hidden="1">
      <c r="V48" s="2"/>
      <c r="W48" s="2"/>
      <c r="X48" s="2"/>
      <c r="Y48" s="2"/>
      <c r="Z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62"/>
      <c r="AW48" s="62"/>
      <c r="AX48" s="62"/>
      <c r="AY48" s="62"/>
      <c r="AZ48" s="62"/>
      <c r="BA48" s="62"/>
      <c r="BB48" s="62"/>
      <c r="BC48" s="62"/>
    </row>
    <row r="49" spans="22:55" s="63" customFormat="1" ht="12.75" customHeight="1" hidden="1">
      <c r="V49" s="2"/>
      <c r="W49" s="2"/>
      <c r="X49" s="2"/>
      <c r="Y49" s="2"/>
      <c r="Z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62"/>
      <c r="AW49" s="62"/>
      <c r="AX49" s="62"/>
      <c r="AY49" s="62"/>
      <c r="AZ49" s="62"/>
      <c r="BA49" s="62"/>
      <c r="BB49" s="62"/>
      <c r="BC49" s="62"/>
    </row>
    <row r="50" spans="21:55" s="63" customFormat="1" ht="12.75" customHeight="1">
      <c r="U50" s="2"/>
      <c r="V50" s="2"/>
      <c r="W50" s="2"/>
      <c r="X50" s="2"/>
      <c r="Y50" s="2"/>
      <c r="Z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62"/>
      <c r="AW50" s="62"/>
      <c r="AX50" s="62"/>
      <c r="AY50" s="62"/>
      <c r="AZ50" s="62"/>
      <c r="BA50" s="62"/>
      <c r="BB50" s="62"/>
      <c r="BC50" s="62"/>
    </row>
    <row r="51" spans="21:55" s="63" customFormat="1" ht="12.75" customHeight="1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62"/>
      <c r="AW51" s="62"/>
      <c r="AX51" s="62"/>
      <c r="AY51" s="62"/>
      <c r="AZ51" s="62"/>
      <c r="BA51" s="62"/>
      <c r="BB51" s="62"/>
      <c r="BC51" s="62"/>
    </row>
    <row r="52" spans="21:55" s="63" customFormat="1" ht="12.75" customHeight="1">
      <c r="U52" s="2"/>
      <c r="V52" s="2"/>
      <c r="W52" s="2"/>
      <c r="X52" s="2"/>
      <c r="Y52" s="2"/>
      <c r="Z52" s="2"/>
      <c r="AA52" s="3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62"/>
      <c r="AW52" s="62"/>
      <c r="AX52" s="62"/>
      <c r="AY52" s="62"/>
      <c r="AZ52" s="62"/>
      <c r="BA52" s="62"/>
      <c r="BB52" s="62"/>
      <c r="BC52" s="62"/>
    </row>
    <row r="53" spans="21:55" s="63" customFormat="1" ht="12.75" customHeight="1">
      <c r="U53" s="2"/>
      <c r="V53" s="2"/>
      <c r="W53" s="2"/>
      <c r="X53" s="2"/>
      <c r="Y53" s="2"/>
      <c r="Z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62"/>
      <c r="AW53" s="62"/>
      <c r="AX53" s="62"/>
      <c r="AY53" s="62"/>
      <c r="AZ53" s="62"/>
      <c r="BA53" s="62"/>
      <c r="BB53" s="62"/>
      <c r="BC53" s="62"/>
    </row>
    <row r="54" spans="21:55" s="63" customFormat="1" ht="12.75" customHeight="1">
      <c r="U54" s="2"/>
      <c r="V54" s="2"/>
      <c r="W54" s="2"/>
      <c r="X54" s="2"/>
      <c r="Y54" s="2"/>
      <c r="Z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62"/>
      <c r="AW54" s="62"/>
      <c r="AX54" s="62"/>
      <c r="AY54" s="62"/>
      <c r="AZ54" s="62"/>
      <c r="BA54" s="62"/>
      <c r="BB54" s="62"/>
      <c r="BC54" s="62"/>
    </row>
    <row r="55" spans="21:55" s="63" customFormat="1" ht="12.75" customHeight="1">
      <c r="U55" s="2"/>
      <c r="V55" s="2"/>
      <c r="W55" s="2"/>
      <c r="X55" s="2"/>
      <c r="Y55" s="2"/>
      <c r="Z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62"/>
      <c r="AW55" s="62"/>
      <c r="AX55" s="62"/>
      <c r="AY55" s="62"/>
      <c r="AZ55" s="62"/>
      <c r="BA55" s="62"/>
      <c r="BB55" s="62"/>
      <c r="BC55" s="62"/>
    </row>
    <row r="56" spans="21:55" s="63" customFormat="1" ht="12.75" customHeight="1">
      <c r="U56" s="2"/>
      <c r="V56" s="2"/>
      <c r="W56" s="2"/>
      <c r="X56" s="2"/>
      <c r="Y56" s="2"/>
      <c r="Z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2"/>
      <c r="AW56" s="62"/>
      <c r="AX56" s="62"/>
      <c r="AY56" s="62"/>
      <c r="AZ56" s="62"/>
      <c r="BA56" s="62"/>
      <c r="BB56" s="62"/>
      <c r="BC56" s="62"/>
    </row>
    <row r="57" spans="21:55" s="63" customFormat="1" ht="12.75" customHeight="1">
      <c r="U57" s="2"/>
      <c r="V57" s="2"/>
      <c r="W57" s="2"/>
      <c r="X57" s="2"/>
      <c r="Y57" s="2"/>
      <c r="Z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62"/>
      <c r="AW57" s="62"/>
      <c r="AX57" s="62"/>
      <c r="AY57" s="62"/>
      <c r="AZ57" s="62"/>
      <c r="BA57" s="62"/>
      <c r="BB57" s="62"/>
      <c r="BC57" s="62"/>
    </row>
    <row r="58" spans="21:55" s="63" customFormat="1" ht="12.75" customHeight="1">
      <c r="U58" s="2"/>
      <c r="V58" s="2"/>
      <c r="W58" s="2"/>
      <c r="X58" s="2"/>
      <c r="Y58" s="2"/>
      <c r="Z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2"/>
      <c r="AW58" s="62"/>
      <c r="AX58" s="62"/>
      <c r="AY58" s="62"/>
      <c r="AZ58" s="62"/>
      <c r="BA58" s="62"/>
      <c r="BB58" s="62"/>
      <c r="BC58" s="62"/>
    </row>
    <row r="59" spans="21:55" s="63" customFormat="1" ht="12.75" customHeight="1">
      <c r="U59" s="2"/>
      <c r="V59" s="2"/>
      <c r="W59" s="2"/>
      <c r="X59" s="2"/>
      <c r="Y59" s="2"/>
      <c r="Z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62"/>
      <c r="AW59" s="62"/>
      <c r="AX59" s="62"/>
      <c r="AY59" s="62"/>
      <c r="AZ59" s="62"/>
      <c r="BA59" s="62"/>
      <c r="BB59" s="62"/>
      <c r="BC59" s="62"/>
    </row>
    <row r="60" spans="21:55" s="63" customFormat="1" ht="12.75" customHeight="1">
      <c r="U60" s="2"/>
      <c r="V60" s="2"/>
      <c r="W60" s="2"/>
      <c r="X60" s="2"/>
      <c r="Y60" s="2"/>
      <c r="Z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62"/>
      <c r="AW60" s="62"/>
      <c r="AX60" s="62"/>
      <c r="AY60" s="62"/>
      <c r="AZ60" s="62"/>
      <c r="BA60" s="62"/>
      <c r="BB60" s="62"/>
      <c r="BC60" s="62"/>
    </row>
    <row r="61" spans="21:55" s="63" customFormat="1" ht="12.75" customHeight="1">
      <c r="U61" s="2"/>
      <c r="V61" s="2"/>
      <c r="W61" s="2"/>
      <c r="X61" s="2"/>
      <c r="Y61" s="2"/>
      <c r="Z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62"/>
      <c r="AW61" s="62"/>
      <c r="AX61" s="62"/>
      <c r="AY61" s="62"/>
      <c r="AZ61" s="62"/>
      <c r="BA61" s="62"/>
      <c r="BB61" s="62"/>
      <c r="BC61" s="62"/>
    </row>
    <row r="62" spans="21:55" s="63" customFormat="1" ht="12.75" customHeight="1">
      <c r="U62" s="2"/>
      <c r="V62" s="2"/>
      <c r="W62" s="2"/>
      <c r="X62" s="2"/>
      <c r="Y62" s="2"/>
      <c r="Z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62"/>
      <c r="AW62" s="62"/>
      <c r="AX62" s="62"/>
      <c r="AY62" s="62"/>
      <c r="AZ62" s="62"/>
      <c r="BA62" s="62"/>
      <c r="BB62" s="62"/>
      <c r="BC62" s="62"/>
    </row>
    <row r="63" spans="21:55" s="63" customFormat="1" ht="12.75" customHeight="1">
      <c r="U63" s="2"/>
      <c r="V63" s="2"/>
      <c r="W63" s="2"/>
      <c r="X63" s="2"/>
      <c r="Y63" s="2"/>
      <c r="Z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62"/>
      <c r="AW63" s="62"/>
      <c r="AX63" s="62"/>
      <c r="AY63" s="62"/>
      <c r="AZ63" s="62"/>
      <c r="BA63" s="62"/>
      <c r="BB63" s="62"/>
      <c r="BC63" s="62"/>
    </row>
    <row r="64" spans="21:55" s="63" customFormat="1" ht="12.75" customHeight="1">
      <c r="U64" s="2"/>
      <c r="V64" s="2"/>
      <c r="W64" s="2"/>
      <c r="X64" s="2"/>
      <c r="Y64" s="2"/>
      <c r="Z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62"/>
      <c r="AW64" s="62"/>
      <c r="AX64" s="62"/>
      <c r="AY64" s="62"/>
      <c r="AZ64" s="62"/>
      <c r="BA64" s="62"/>
      <c r="BB64" s="62"/>
      <c r="BC64" s="62"/>
    </row>
    <row r="65" spans="21:55" s="63" customFormat="1" ht="12.75" customHeight="1">
      <c r="U65" s="2"/>
      <c r="V65" s="2"/>
      <c r="W65" s="2"/>
      <c r="X65" s="2"/>
      <c r="Y65" s="2"/>
      <c r="Z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62"/>
      <c r="AW65" s="62"/>
      <c r="AX65" s="62"/>
      <c r="AY65" s="62"/>
      <c r="AZ65" s="62"/>
      <c r="BA65" s="62"/>
      <c r="BB65" s="62"/>
      <c r="BC65" s="62"/>
    </row>
    <row r="66" spans="21:55" s="63" customFormat="1" ht="12.75" customHeight="1">
      <c r="U66" s="2"/>
      <c r="V66" s="2"/>
      <c r="W66" s="2"/>
      <c r="X66" s="2"/>
      <c r="Y66" s="2"/>
      <c r="Z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62"/>
      <c r="AW66" s="62"/>
      <c r="AX66" s="62"/>
      <c r="AY66" s="62"/>
      <c r="AZ66" s="62"/>
      <c r="BA66" s="62"/>
      <c r="BB66" s="62"/>
      <c r="BC66" s="62"/>
    </row>
    <row r="67" spans="21:55" s="63" customFormat="1" ht="12.75" customHeight="1">
      <c r="U67" s="2"/>
      <c r="V67" s="2"/>
      <c r="W67" s="2"/>
      <c r="X67" s="2"/>
      <c r="Y67" s="2"/>
      <c r="Z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62"/>
      <c r="AW67" s="62"/>
      <c r="AX67" s="62"/>
      <c r="AY67" s="62"/>
      <c r="AZ67" s="62"/>
      <c r="BA67" s="62"/>
      <c r="BB67" s="62"/>
      <c r="BC67" s="62"/>
    </row>
    <row r="68" spans="21:55" s="63" customFormat="1" ht="12.75" customHeight="1">
      <c r="U68" s="2"/>
      <c r="V68" s="2"/>
      <c r="W68" s="2"/>
      <c r="X68" s="2"/>
      <c r="Y68" s="2"/>
      <c r="Z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62"/>
      <c r="AW68" s="62"/>
      <c r="AX68" s="62"/>
      <c r="AY68" s="62"/>
      <c r="AZ68" s="62"/>
      <c r="BA68" s="62"/>
      <c r="BB68" s="62"/>
      <c r="BC68" s="62"/>
    </row>
    <row r="69" spans="21:55" s="63" customFormat="1" ht="12.75" customHeight="1">
      <c r="U69" s="2"/>
      <c r="V69" s="2"/>
      <c r="W69" s="2"/>
      <c r="X69" s="2"/>
      <c r="Y69" s="2"/>
      <c r="Z69" s="2"/>
      <c r="AE69" s="25"/>
      <c r="AF69" s="25"/>
      <c r="AG69" s="25"/>
      <c r="AH69" s="25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62"/>
      <c r="AW69" s="62"/>
      <c r="AX69" s="62"/>
      <c r="AY69" s="62"/>
      <c r="AZ69" s="62"/>
      <c r="BA69" s="62"/>
      <c r="BB69" s="62"/>
      <c r="BC69" s="62"/>
    </row>
    <row r="70" spans="21:55" s="63" customFormat="1" ht="12.75" customHeight="1">
      <c r="U70" s="88"/>
      <c r="V70" s="88"/>
      <c r="W70" s="88"/>
      <c r="X70" s="88"/>
      <c r="Y70" s="86"/>
      <c r="Z70" s="2"/>
      <c r="AE70" s="8"/>
      <c r="AF70" s="8"/>
      <c r="AG70" s="8"/>
      <c r="AH70" s="8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62"/>
      <c r="AW70" s="62"/>
      <c r="AX70" s="62"/>
      <c r="AY70" s="62"/>
      <c r="AZ70" s="62"/>
      <c r="BA70" s="62"/>
      <c r="BB70" s="62"/>
      <c r="BC70" s="62"/>
    </row>
    <row r="71" spans="22:55" s="63" customFormat="1" ht="12.75" customHeight="1">
      <c r="V71" s="86"/>
      <c r="W71" s="86"/>
      <c r="X71" s="86"/>
      <c r="Y71" s="86"/>
      <c r="Z71" s="2"/>
      <c r="AE71" s="8"/>
      <c r="AF71" s="8"/>
      <c r="AG71" s="8"/>
      <c r="AH71" s="8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62"/>
      <c r="AW71" s="62"/>
      <c r="AX71" s="62"/>
      <c r="AY71" s="62"/>
      <c r="AZ71" s="62"/>
      <c r="BA71" s="62"/>
      <c r="BB71" s="62"/>
      <c r="BC71" s="62"/>
    </row>
    <row r="72" spans="22:55" s="63" customFormat="1" ht="12.75" customHeight="1">
      <c r="V72" s="86"/>
      <c r="W72" s="86"/>
      <c r="X72" s="86"/>
      <c r="Y72" s="86"/>
      <c r="Z72" s="2"/>
      <c r="AE72" s="8"/>
      <c r="AF72" s="8"/>
      <c r="AG72" s="8"/>
      <c r="AH72" s="8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62"/>
      <c r="AW72" s="62"/>
      <c r="AX72" s="62"/>
      <c r="AY72" s="62"/>
      <c r="AZ72" s="62"/>
      <c r="BA72" s="62"/>
      <c r="BB72" s="62"/>
      <c r="BC72" s="62"/>
    </row>
    <row r="73" spans="21:55" s="63" customFormat="1" ht="12.75" customHeight="1">
      <c r="U73" s="86"/>
      <c r="V73" s="86"/>
      <c r="W73" s="86"/>
      <c r="X73" s="86"/>
      <c r="Y73" s="86"/>
      <c r="Z73" s="2"/>
      <c r="AE73" s="8"/>
      <c r="AF73" s="8"/>
      <c r="AG73" s="8"/>
      <c r="AH73" s="8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62"/>
      <c r="AW73" s="62"/>
      <c r="AX73" s="62"/>
      <c r="AY73" s="62"/>
      <c r="AZ73" s="62"/>
      <c r="BA73" s="62"/>
      <c r="BB73" s="62"/>
      <c r="BC73" s="62"/>
    </row>
    <row r="74" spans="26:55" s="63" customFormat="1" ht="12.75" customHeight="1">
      <c r="Z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62"/>
      <c r="AW74" s="62"/>
      <c r="AX74" s="62"/>
      <c r="AY74" s="62"/>
      <c r="AZ74" s="62"/>
      <c r="BA74" s="62"/>
      <c r="BB74" s="62"/>
      <c r="BC74" s="62"/>
    </row>
    <row r="75" spans="21:55" s="63" customFormat="1" ht="12.75" customHeight="1">
      <c r="U75" s="86"/>
      <c r="V75" s="86"/>
      <c r="W75" s="86"/>
      <c r="X75" s="86"/>
      <c r="Y75" s="86"/>
      <c r="Z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62"/>
      <c r="AW75" s="62"/>
      <c r="AX75" s="62"/>
      <c r="AY75" s="62"/>
      <c r="AZ75" s="62"/>
      <c r="BA75" s="62"/>
      <c r="BB75" s="62"/>
      <c r="BC75" s="62"/>
    </row>
    <row r="76" spans="23:55" s="63" customFormat="1" ht="12.75" customHeight="1">
      <c r="W76" s="86"/>
      <c r="X76" s="86"/>
      <c r="Y76" s="86"/>
      <c r="Z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62"/>
      <c r="AW76" s="62"/>
      <c r="AX76" s="62"/>
      <c r="AY76" s="62"/>
      <c r="AZ76" s="62"/>
      <c r="BA76" s="62"/>
      <c r="BB76" s="62"/>
      <c r="BC76" s="62"/>
    </row>
    <row r="77" spans="21:55" s="63" customFormat="1" ht="12.75" customHeight="1">
      <c r="U77" s="86"/>
      <c r="V77" s="86"/>
      <c r="W77" s="86"/>
      <c r="X77" s="86"/>
      <c r="Y77" s="86"/>
      <c r="Z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62"/>
      <c r="AW77" s="62"/>
      <c r="AX77" s="62"/>
      <c r="AY77" s="62"/>
      <c r="AZ77" s="62"/>
      <c r="BA77" s="62"/>
      <c r="BB77" s="62"/>
      <c r="BC77" s="62"/>
    </row>
    <row r="78" spans="23:55" s="63" customFormat="1" ht="12.75" customHeight="1">
      <c r="W78" s="102"/>
      <c r="X78" s="86"/>
      <c r="Y78" s="86"/>
      <c r="Z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62"/>
      <c r="AW78" s="62"/>
      <c r="AX78" s="62"/>
      <c r="AY78" s="62"/>
      <c r="AZ78" s="62"/>
      <c r="BA78" s="62"/>
      <c r="BB78" s="62"/>
      <c r="BC78" s="62"/>
    </row>
    <row r="79" spans="21:55" s="63" customFormat="1" ht="12.75" customHeight="1">
      <c r="U79" s="86"/>
      <c r="V79" s="86"/>
      <c r="W79" s="86"/>
      <c r="X79" s="86"/>
      <c r="Y79" s="86"/>
      <c r="Z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62"/>
      <c r="AW79" s="62"/>
      <c r="AX79" s="62"/>
      <c r="AY79" s="62"/>
      <c r="AZ79" s="62"/>
      <c r="BA79" s="62"/>
      <c r="BB79" s="62"/>
      <c r="BC79" s="62"/>
    </row>
    <row r="80" spans="25:55" s="63" customFormat="1" ht="12.75" customHeight="1">
      <c r="Y80" s="86"/>
      <c r="Z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62"/>
      <c r="AW80" s="62"/>
      <c r="AX80" s="62"/>
      <c r="AY80" s="62"/>
      <c r="AZ80" s="62"/>
      <c r="BA80" s="62"/>
      <c r="BB80" s="62"/>
      <c r="BC80" s="62"/>
    </row>
    <row r="81" spans="21:55" s="63" customFormat="1" ht="12.75" customHeight="1">
      <c r="U81" s="86"/>
      <c r="V81" s="86"/>
      <c r="W81" s="86"/>
      <c r="X81" s="86"/>
      <c r="Y81" s="86"/>
      <c r="Z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62"/>
      <c r="AW81" s="62"/>
      <c r="AX81" s="62"/>
      <c r="AY81" s="62"/>
      <c r="AZ81" s="62"/>
      <c r="BA81" s="62"/>
      <c r="BB81" s="62"/>
      <c r="BC81" s="62"/>
    </row>
    <row r="82" spans="23:55" s="63" customFormat="1" ht="12.75" customHeight="1">
      <c r="W82" s="86"/>
      <c r="X82" s="86"/>
      <c r="Y82" s="86"/>
      <c r="Z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62"/>
      <c r="AW82" s="62"/>
      <c r="AX82" s="62"/>
      <c r="AY82" s="62"/>
      <c r="AZ82" s="62"/>
      <c r="BA82" s="62"/>
      <c r="BB82" s="62"/>
      <c r="BC82" s="62"/>
    </row>
    <row r="83" spans="21:55" s="63" customFormat="1" ht="12.75" customHeight="1">
      <c r="U83" s="2"/>
      <c r="V83" s="2"/>
      <c r="W83" s="2"/>
      <c r="X83" s="2"/>
      <c r="Y83" s="2"/>
      <c r="Z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62"/>
      <c r="AW83" s="62"/>
      <c r="AX83" s="62"/>
      <c r="AY83" s="62"/>
      <c r="AZ83" s="62"/>
      <c r="BA83" s="62"/>
      <c r="BB83" s="62"/>
      <c r="BC83" s="62"/>
    </row>
    <row r="84" spans="21:55" s="63" customFormat="1" ht="12.75" customHeight="1">
      <c r="U84" s="86"/>
      <c r="V84" s="2"/>
      <c r="W84" s="2"/>
      <c r="X84" s="2"/>
      <c r="Y84" s="2"/>
      <c r="Z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62"/>
      <c r="AW84" s="62"/>
      <c r="AX84" s="62"/>
      <c r="AY84" s="62"/>
      <c r="AZ84" s="62"/>
      <c r="BA84" s="62"/>
      <c r="BB84" s="62"/>
      <c r="BC84" s="62"/>
    </row>
    <row r="85" spans="21:55" s="63" customFormat="1" ht="12.75" customHeight="1">
      <c r="U85" s="86"/>
      <c r="V85" s="2"/>
      <c r="W85" s="2"/>
      <c r="X85" s="2"/>
      <c r="Y85" s="2"/>
      <c r="Z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62"/>
      <c r="AW85" s="62"/>
      <c r="AX85" s="62"/>
      <c r="AY85" s="62"/>
      <c r="AZ85" s="62"/>
      <c r="BA85" s="62"/>
      <c r="BB85" s="62"/>
      <c r="BC85" s="62"/>
    </row>
    <row r="86" spans="21:55" s="63" customFormat="1" ht="12.75" customHeight="1">
      <c r="U86" s="2"/>
      <c r="V86" s="2"/>
      <c r="W86" s="2"/>
      <c r="X86" s="2"/>
      <c r="Y86" s="2"/>
      <c r="Z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62"/>
      <c r="AW86" s="62"/>
      <c r="AX86" s="62"/>
      <c r="AY86" s="62"/>
      <c r="AZ86" s="62"/>
      <c r="BA86" s="62"/>
      <c r="BB86" s="62"/>
      <c r="BC86" s="62"/>
    </row>
    <row r="87" spans="21:55" s="63" customFormat="1" ht="12.75" customHeight="1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62"/>
      <c r="AW87" s="62"/>
      <c r="AX87" s="62"/>
      <c r="AY87" s="62"/>
      <c r="AZ87" s="62"/>
      <c r="BA87" s="62"/>
      <c r="BB87" s="62"/>
      <c r="BC87" s="62"/>
    </row>
    <row r="88" spans="21:55" s="63" customFormat="1" ht="12.75" customHeight="1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62"/>
      <c r="AW88" s="62"/>
      <c r="AX88" s="62"/>
      <c r="AY88" s="62"/>
      <c r="AZ88" s="62"/>
      <c r="BA88" s="62"/>
      <c r="BB88" s="62"/>
      <c r="BC88" s="62"/>
    </row>
    <row r="89" spans="21:55" s="63" customFormat="1" ht="12.75" customHeight="1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62"/>
      <c r="AW89" s="62"/>
      <c r="AX89" s="62"/>
      <c r="AY89" s="62"/>
      <c r="AZ89" s="62"/>
      <c r="BA89" s="62"/>
      <c r="BB89" s="62"/>
      <c r="BC89" s="62"/>
    </row>
    <row r="90" spans="21:55" ht="12.75" customHeight="1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59"/>
      <c r="AW90" s="59"/>
      <c r="AX90" s="59"/>
      <c r="AY90" s="59"/>
      <c r="AZ90" s="59"/>
      <c r="BA90" s="59"/>
      <c r="BB90" s="59"/>
      <c r="BC90" s="59"/>
    </row>
    <row r="91" spans="21:55" ht="12.75" customHeight="1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59"/>
      <c r="AW91" s="59"/>
      <c r="AX91" s="59"/>
      <c r="AY91" s="59"/>
      <c r="AZ91" s="59"/>
      <c r="BA91" s="59"/>
      <c r="BB91" s="59"/>
      <c r="BC91" s="59"/>
    </row>
    <row r="92" spans="21:55" ht="12.75" customHeight="1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59"/>
      <c r="AW92" s="59"/>
      <c r="AX92" s="59"/>
      <c r="AY92" s="59"/>
      <c r="AZ92" s="59"/>
      <c r="BA92" s="59"/>
      <c r="BB92" s="59"/>
      <c r="BC92" s="59"/>
    </row>
    <row r="93" spans="11:55" ht="12.75" customHeight="1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59"/>
      <c r="AW93" s="59"/>
      <c r="AX93" s="59"/>
      <c r="AY93" s="59"/>
      <c r="AZ93" s="59"/>
      <c r="BA93" s="59"/>
      <c r="BB93" s="59"/>
      <c r="BC93" s="59"/>
    </row>
    <row r="94" spans="11:55" ht="12.75" customHeight="1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59"/>
      <c r="AW94" s="59"/>
      <c r="AX94" s="59"/>
      <c r="AY94" s="59"/>
      <c r="AZ94" s="59"/>
      <c r="BA94" s="59"/>
      <c r="BB94" s="59"/>
      <c r="BC94" s="59"/>
    </row>
    <row r="95" spans="11:55" ht="12.75" customHeight="1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59"/>
      <c r="AW95" s="59"/>
      <c r="AX95" s="59"/>
      <c r="AY95" s="59"/>
      <c r="AZ95" s="59"/>
      <c r="BA95" s="59"/>
      <c r="BB95" s="59"/>
      <c r="BC95" s="59"/>
    </row>
    <row r="96" spans="11:55" ht="12.75" customHeight="1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59"/>
      <c r="AW96" s="59"/>
      <c r="AX96" s="59"/>
      <c r="AY96" s="59"/>
      <c r="AZ96" s="59"/>
      <c r="BA96" s="59"/>
      <c r="BB96" s="59"/>
      <c r="BC96" s="59"/>
    </row>
    <row r="97" spans="11:55" ht="12.75" customHeight="1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59"/>
      <c r="AW97" s="59"/>
      <c r="AX97" s="59"/>
      <c r="AY97" s="59"/>
      <c r="AZ97" s="59"/>
      <c r="BA97" s="59"/>
      <c r="BB97" s="59"/>
      <c r="BC97" s="59"/>
    </row>
    <row r="98" spans="11:55" ht="12.75" customHeight="1">
      <c r="K98" s="2"/>
      <c r="L98" s="2"/>
      <c r="S98" s="2"/>
      <c r="T98" s="2"/>
      <c r="U98" s="2"/>
      <c r="V98" s="2"/>
      <c r="W98" s="2"/>
      <c r="X98" s="2"/>
      <c r="Y98" s="2"/>
      <c r="Z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59"/>
      <c r="AW98" s="59"/>
      <c r="AX98" s="59"/>
      <c r="AY98" s="59"/>
      <c r="AZ98" s="59"/>
      <c r="BA98" s="59"/>
      <c r="BB98" s="59"/>
      <c r="BC98" s="59"/>
    </row>
    <row r="99" spans="11:55" ht="12.75" customHeight="1">
      <c r="K99" s="2"/>
      <c r="L99" s="2"/>
      <c r="S99" s="2"/>
      <c r="T99" s="2"/>
      <c r="U99" s="2"/>
      <c r="V99" s="2"/>
      <c r="W99" s="2"/>
      <c r="X99" s="2"/>
      <c r="Y99" s="2"/>
      <c r="Z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59"/>
      <c r="AW99" s="59"/>
      <c r="AX99" s="59"/>
      <c r="AY99" s="59"/>
      <c r="AZ99" s="59"/>
      <c r="BA99" s="59"/>
      <c r="BB99" s="59"/>
      <c r="BC99" s="59"/>
    </row>
    <row r="100" spans="11:55" ht="12.75" customHeight="1">
      <c r="K100" s="2"/>
      <c r="L100" s="2"/>
      <c r="S100" s="2"/>
      <c r="T100" s="2"/>
      <c r="U100" s="2"/>
      <c r="V100" s="2"/>
      <c r="W100" s="2"/>
      <c r="X100" s="2"/>
      <c r="Y100" s="2"/>
      <c r="Z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59"/>
      <c r="AW100" s="59"/>
      <c r="AX100" s="59"/>
      <c r="AY100" s="59"/>
      <c r="AZ100" s="59"/>
      <c r="BA100" s="59"/>
      <c r="BB100" s="59"/>
      <c r="BC100" s="59"/>
    </row>
    <row r="101" spans="11:55" ht="12.75" customHeight="1">
      <c r="K101" s="2"/>
      <c r="L101" s="2"/>
      <c r="S101" s="2"/>
      <c r="T101" s="2"/>
      <c r="U101" s="2"/>
      <c r="V101" s="2"/>
      <c r="W101" s="2"/>
      <c r="X101" s="2"/>
      <c r="Y101" s="2"/>
      <c r="Z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59"/>
      <c r="AW101" s="59"/>
      <c r="AX101" s="59"/>
      <c r="AY101" s="59"/>
      <c r="AZ101" s="59"/>
      <c r="BA101" s="59"/>
      <c r="BB101" s="59"/>
      <c r="BC101" s="59"/>
    </row>
    <row r="102" spans="11:55" ht="12.75" customHeight="1">
      <c r="K102" s="2"/>
      <c r="L102" s="2"/>
      <c r="S102" s="2"/>
      <c r="T102" s="2"/>
      <c r="U102" s="2"/>
      <c r="V102" s="2"/>
      <c r="W102" s="2"/>
      <c r="X102" s="2"/>
      <c r="Y102" s="2"/>
      <c r="Z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59"/>
      <c r="AW102" s="59"/>
      <c r="AX102" s="59"/>
      <c r="AY102" s="59"/>
      <c r="AZ102" s="59"/>
      <c r="BA102" s="59"/>
      <c r="BB102" s="59"/>
      <c r="BC102" s="59"/>
    </row>
    <row r="103" spans="11:55" ht="12.75" customHeight="1">
      <c r="K103" s="2"/>
      <c r="L103" s="2"/>
      <c r="S103" s="2"/>
      <c r="T103" s="2"/>
      <c r="U103" s="2"/>
      <c r="V103" s="2"/>
      <c r="W103" s="2"/>
      <c r="X103" s="2"/>
      <c r="Y103" s="2"/>
      <c r="Z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59"/>
      <c r="AW103" s="59"/>
      <c r="AX103" s="59"/>
      <c r="AY103" s="59"/>
      <c r="AZ103" s="59"/>
      <c r="BA103" s="59"/>
      <c r="BB103" s="59"/>
      <c r="BC103" s="59"/>
    </row>
    <row r="104" spans="3:55" ht="12.75" customHeight="1">
      <c r="C104" s="30"/>
      <c r="D104" s="25"/>
      <c r="E104" s="25"/>
      <c r="F104" s="25"/>
      <c r="G104" s="25"/>
      <c r="H104" s="25"/>
      <c r="K104" s="2"/>
      <c r="L104" s="2"/>
      <c r="S104" s="2"/>
      <c r="T104" s="2"/>
      <c r="U104" s="2"/>
      <c r="V104" s="2"/>
      <c r="W104" s="2"/>
      <c r="X104" s="2"/>
      <c r="Y104" s="2"/>
      <c r="Z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59"/>
      <c r="AW104" s="59"/>
      <c r="AX104" s="59"/>
      <c r="AY104" s="59"/>
      <c r="AZ104" s="59"/>
      <c r="BA104" s="59"/>
      <c r="BB104" s="59"/>
      <c r="BC104" s="59"/>
    </row>
    <row r="105" spans="3:55" ht="12.75" customHeight="1">
      <c r="C105" s="30"/>
      <c r="D105" s="25"/>
      <c r="E105" s="25"/>
      <c r="F105" s="25"/>
      <c r="G105" s="25"/>
      <c r="H105" s="2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59"/>
      <c r="AW105" s="59"/>
      <c r="AX105" s="59"/>
      <c r="AY105" s="59"/>
      <c r="AZ105" s="59"/>
      <c r="BA105" s="59"/>
      <c r="BB105" s="59"/>
      <c r="BC105" s="59"/>
    </row>
    <row r="106" spans="3:55" ht="12.75" customHeight="1">
      <c r="C106" s="30"/>
      <c r="D106" s="25"/>
      <c r="E106" s="25"/>
      <c r="F106" s="25"/>
      <c r="G106" s="25"/>
      <c r="H106" s="2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59"/>
      <c r="AW106" s="59"/>
      <c r="AX106" s="59"/>
      <c r="AY106" s="59"/>
      <c r="AZ106" s="59"/>
      <c r="BA106" s="59"/>
      <c r="BB106" s="59"/>
      <c r="BC106" s="59"/>
    </row>
    <row r="107" spans="3:55" ht="12.75" customHeight="1">
      <c r="C107" s="30"/>
      <c r="D107" s="25"/>
      <c r="E107" s="25"/>
      <c r="F107" s="25"/>
      <c r="G107" s="25"/>
      <c r="H107" s="25"/>
      <c r="K107" s="2"/>
      <c r="L107" s="2"/>
      <c r="M107" s="2"/>
      <c r="N107" s="2"/>
      <c r="O107" s="30"/>
      <c r="P107" s="25"/>
      <c r="Q107" s="25"/>
      <c r="R107" s="25"/>
      <c r="S107" s="25"/>
      <c r="T107" s="25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59"/>
      <c r="AW107" s="59"/>
      <c r="AX107" s="59"/>
      <c r="AY107" s="59"/>
      <c r="AZ107" s="59"/>
      <c r="BA107" s="59"/>
      <c r="BB107" s="59"/>
      <c r="BC107" s="59"/>
    </row>
    <row r="108" spans="3:55" ht="12.75" customHeight="1">
      <c r="C108" s="30"/>
      <c r="D108" s="25"/>
      <c r="E108" s="25"/>
      <c r="F108" s="25"/>
      <c r="G108" s="25"/>
      <c r="H108" s="25"/>
      <c r="K108" s="2"/>
      <c r="L108" s="2"/>
      <c r="M108" s="2"/>
      <c r="N108" s="2"/>
      <c r="O108" s="30"/>
      <c r="P108" s="25"/>
      <c r="Q108" s="25"/>
      <c r="R108" s="25"/>
      <c r="S108" s="25"/>
      <c r="T108" s="25"/>
      <c r="U108" s="2"/>
      <c r="V108" s="2"/>
      <c r="W108" s="2"/>
      <c r="X108" s="2"/>
      <c r="Y108" s="2"/>
      <c r="Z108" s="2"/>
      <c r="AA108" s="2"/>
      <c r="AB108" s="2"/>
      <c r="AC108" s="30"/>
      <c r="AD108" s="25"/>
      <c r="AE108" s="25"/>
      <c r="AF108" s="25"/>
      <c r="AG108" s="25"/>
      <c r="AH108" s="25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59"/>
      <c r="AW108" s="59"/>
      <c r="AX108" s="59"/>
      <c r="AY108" s="59"/>
      <c r="AZ108" s="59"/>
      <c r="BA108" s="59"/>
      <c r="BB108" s="59"/>
      <c r="BC108" s="59"/>
    </row>
    <row r="109" spans="3:55" ht="12.75" customHeight="1">
      <c r="C109" s="30"/>
      <c r="D109" s="25"/>
      <c r="E109" s="25"/>
      <c r="F109" s="25"/>
      <c r="G109" s="25"/>
      <c r="H109" s="2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59"/>
      <c r="AW109" s="59"/>
      <c r="AX109" s="59"/>
      <c r="AY109" s="59"/>
      <c r="AZ109" s="59"/>
      <c r="BA109" s="59"/>
      <c r="BB109" s="59"/>
      <c r="BC109" s="59"/>
    </row>
    <row r="110" spans="3:55" ht="12.75" customHeight="1">
      <c r="C110" s="30"/>
      <c r="D110" s="25"/>
      <c r="E110" s="25"/>
      <c r="F110" s="25"/>
      <c r="G110" s="25"/>
      <c r="H110" s="2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59"/>
      <c r="AW110" s="59"/>
      <c r="AX110" s="59"/>
      <c r="AY110" s="59"/>
      <c r="AZ110" s="59"/>
      <c r="BA110" s="59"/>
      <c r="BB110" s="59"/>
      <c r="BC110" s="59"/>
    </row>
    <row r="111" spans="3:55" ht="12.75" customHeight="1">
      <c r="C111" s="30"/>
      <c r="D111" s="25"/>
      <c r="E111" s="25"/>
      <c r="F111" s="25"/>
      <c r="G111" s="25"/>
      <c r="H111" s="2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59"/>
      <c r="AW111" s="59"/>
      <c r="AX111" s="59"/>
      <c r="AY111" s="59"/>
      <c r="AZ111" s="59"/>
      <c r="BA111" s="59"/>
      <c r="BB111" s="59"/>
      <c r="BC111" s="59"/>
    </row>
    <row r="112" spans="3:55" ht="12.75" customHeight="1">
      <c r="C112" s="30"/>
      <c r="D112" s="25"/>
      <c r="E112" s="25"/>
      <c r="F112" s="25"/>
      <c r="G112" s="25"/>
      <c r="H112" s="2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59"/>
      <c r="AW112" s="59"/>
      <c r="AX112" s="59"/>
      <c r="AY112" s="59"/>
      <c r="AZ112" s="59"/>
      <c r="BA112" s="59"/>
      <c r="BB112" s="59"/>
      <c r="BC112" s="59"/>
    </row>
    <row r="113" spans="11:55" ht="12.75" customHeight="1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59"/>
      <c r="AW113" s="59"/>
      <c r="AX113" s="59"/>
      <c r="AY113" s="59"/>
      <c r="AZ113" s="59"/>
      <c r="BA113" s="59"/>
      <c r="BB113" s="59"/>
      <c r="BC113" s="59"/>
    </row>
    <row r="114" spans="11:55" ht="12.75" customHeight="1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59"/>
      <c r="AW114" s="59"/>
      <c r="AX114" s="59"/>
      <c r="AY114" s="59"/>
      <c r="AZ114" s="59"/>
      <c r="BA114" s="59"/>
      <c r="BB114" s="59"/>
      <c r="BC114" s="59"/>
    </row>
    <row r="115" spans="11:55" ht="12.75" customHeight="1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59"/>
      <c r="AW115" s="59"/>
      <c r="AX115" s="59"/>
      <c r="AY115" s="59"/>
      <c r="AZ115" s="59"/>
      <c r="BA115" s="59"/>
      <c r="BB115" s="59"/>
      <c r="BC115" s="59"/>
    </row>
    <row r="116" spans="11:55" ht="12.75" customHeight="1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59"/>
      <c r="AW116" s="59"/>
      <c r="AX116" s="59"/>
      <c r="AY116" s="59"/>
      <c r="AZ116" s="59"/>
      <c r="BA116" s="59"/>
      <c r="BB116" s="59"/>
      <c r="BC116" s="59"/>
    </row>
    <row r="117" spans="11:55" ht="12.75" customHeight="1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59"/>
      <c r="AW117" s="59"/>
      <c r="AX117" s="59"/>
      <c r="AY117" s="59"/>
      <c r="AZ117" s="59"/>
      <c r="BA117" s="59"/>
      <c r="BB117" s="59"/>
      <c r="BC117" s="59"/>
    </row>
    <row r="118" spans="11:55" ht="12.75" customHeight="1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59"/>
      <c r="AW118" s="59"/>
      <c r="AX118" s="59"/>
      <c r="AY118" s="59"/>
      <c r="AZ118" s="59"/>
      <c r="BA118" s="59"/>
      <c r="BB118" s="59"/>
      <c r="BC118" s="59"/>
    </row>
    <row r="119" spans="11:55" ht="12.75" customHeight="1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59"/>
      <c r="AW119" s="59"/>
      <c r="AX119" s="59"/>
      <c r="AY119" s="59"/>
      <c r="AZ119" s="59"/>
      <c r="BA119" s="59"/>
      <c r="BB119" s="59"/>
      <c r="BC119" s="59"/>
    </row>
    <row r="120" spans="11:55" ht="12.75" customHeight="1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59"/>
      <c r="AW120" s="59"/>
      <c r="AX120" s="59"/>
      <c r="AY120" s="59"/>
      <c r="AZ120" s="59"/>
      <c r="BA120" s="59"/>
      <c r="BB120" s="59"/>
      <c r="BC120" s="59"/>
    </row>
    <row r="121" spans="11:55" ht="12.75" customHeight="1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59"/>
      <c r="AW121" s="59"/>
      <c r="AX121" s="59"/>
      <c r="AY121" s="59"/>
      <c r="AZ121" s="59"/>
      <c r="BA121" s="59"/>
      <c r="BB121" s="59"/>
      <c r="BC121" s="59"/>
    </row>
    <row r="122" spans="11:55" ht="12.75" customHeight="1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59"/>
      <c r="AW122" s="59"/>
      <c r="AX122" s="59"/>
      <c r="AY122" s="59"/>
      <c r="AZ122" s="59"/>
      <c r="BA122" s="59"/>
      <c r="BB122" s="59"/>
      <c r="BC122" s="59"/>
    </row>
    <row r="123" spans="11:55" ht="12.75" customHeight="1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59"/>
      <c r="AW123" s="59"/>
      <c r="AX123" s="59"/>
      <c r="AY123" s="59"/>
      <c r="AZ123" s="59"/>
      <c r="BA123" s="59"/>
      <c r="BB123" s="59"/>
      <c r="BC123" s="59"/>
    </row>
    <row r="124" spans="11:55" ht="12.75" customHeight="1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59"/>
      <c r="AW124" s="59"/>
      <c r="AX124" s="59"/>
      <c r="AY124" s="59"/>
      <c r="AZ124" s="59"/>
      <c r="BA124" s="59"/>
      <c r="BB124" s="59"/>
      <c r="BC124" s="59"/>
    </row>
    <row r="125" spans="11:55" ht="12.75" customHeight="1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59"/>
      <c r="AW125" s="59"/>
      <c r="AX125" s="59"/>
      <c r="AY125" s="59"/>
      <c r="AZ125" s="59"/>
      <c r="BA125" s="59"/>
      <c r="BB125" s="59"/>
      <c r="BC125" s="59"/>
    </row>
    <row r="126" spans="11:55" ht="12.75" customHeight="1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59"/>
      <c r="AW126" s="59"/>
      <c r="AX126" s="59"/>
      <c r="AY126" s="59"/>
      <c r="AZ126" s="59"/>
      <c r="BA126" s="59"/>
      <c r="BB126" s="59"/>
      <c r="BC126" s="59"/>
    </row>
    <row r="127" spans="11:55" ht="12.75" customHeight="1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59"/>
      <c r="AW127" s="59"/>
      <c r="AX127" s="59"/>
      <c r="AY127" s="59"/>
      <c r="AZ127" s="59"/>
      <c r="BA127" s="59"/>
      <c r="BB127" s="59"/>
      <c r="BC127" s="59"/>
    </row>
    <row r="128" spans="11:55" ht="12.75" customHeight="1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59"/>
      <c r="AW128" s="59"/>
      <c r="AX128" s="59"/>
      <c r="AY128" s="59"/>
      <c r="AZ128" s="59"/>
      <c r="BA128" s="59"/>
      <c r="BB128" s="59"/>
      <c r="BC128" s="59"/>
    </row>
    <row r="129" spans="11:55" ht="12.75" customHeight="1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59"/>
      <c r="AW129" s="59"/>
      <c r="AX129" s="59"/>
      <c r="AY129" s="59"/>
      <c r="AZ129" s="59"/>
      <c r="BA129" s="59"/>
      <c r="BB129" s="59"/>
      <c r="BC129" s="59"/>
    </row>
    <row r="130" spans="11:55" ht="12.75" customHeight="1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59"/>
      <c r="AW130" s="59"/>
      <c r="AX130" s="59"/>
      <c r="AY130" s="59"/>
      <c r="AZ130" s="59"/>
      <c r="BA130" s="59"/>
      <c r="BB130" s="59"/>
      <c r="BC130" s="59"/>
    </row>
    <row r="131" spans="11:55" ht="12.75" customHeight="1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59"/>
      <c r="AW131" s="59"/>
      <c r="AX131" s="59"/>
      <c r="AY131" s="59"/>
      <c r="AZ131" s="59"/>
      <c r="BA131" s="59"/>
      <c r="BB131" s="59"/>
      <c r="BC131" s="59"/>
    </row>
    <row r="132" spans="11:55" ht="12.75" customHeight="1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59"/>
      <c r="AW132" s="59"/>
      <c r="AX132" s="59"/>
      <c r="AY132" s="59"/>
      <c r="AZ132" s="59"/>
      <c r="BA132" s="59"/>
      <c r="BB132" s="59"/>
      <c r="BC132" s="59"/>
    </row>
    <row r="133" spans="11:55" ht="12.75" customHeight="1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59"/>
      <c r="AW133" s="59"/>
      <c r="AX133" s="59"/>
      <c r="AY133" s="59"/>
      <c r="AZ133" s="59"/>
      <c r="BA133" s="59"/>
      <c r="BB133" s="59"/>
      <c r="BC133" s="59"/>
    </row>
    <row r="134" spans="11:55" ht="12.75" customHeight="1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59"/>
      <c r="AW134" s="59"/>
      <c r="AX134" s="59"/>
      <c r="AY134" s="59"/>
      <c r="AZ134" s="59"/>
      <c r="BA134" s="59"/>
      <c r="BB134" s="59"/>
      <c r="BC134" s="59"/>
    </row>
    <row r="135" spans="11:55" ht="12.75" customHeight="1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59"/>
      <c r="AW135" s="59"/>
      <c r="AX135" s="59"/>
      <c r="AY135" s="59"/>
      <c r="AZ135" s="59"/>
      <c r="BA135" s="59"/>
      <c r="BB135" s="59"/>
      <c r="BC135" s="59"/>
    </row>
    <row r="136" spans="11:55" ht="12.75" customHeight="1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59"/>
      <c r="AW136" s="59"/>
      <c r="AX136" s="59"/>
      <c r="AY136" s="59"/>
      <c r="AZ136" s="59"/>
      <c r="BA136" s="59"/>
      <c r="BB136" s="59"/>
      <c r="BC136" s="59"/>
    </row>
    <row r="137" spans="11:55" ht="12.75" customHeight="1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59"/>
      <c r="AW137" s="59"/>
      <c r="AX137" s="59"/>
      <c r="AY137" s="59"/>
      <c r="AZ137" s="59"/>
      <c r="BA137" s="59"/>
      <c r="BB137" s="59"/>
      <c r="BC137" s="59"/>
    </row>
    <row r="138" spans="11:55" ht="12.75" customHeight="1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59"/>
      <c r="AW138" s="59"/>
      <c r="AX138" s="59"/>
      <c r="AY138" s="59"/>
      <c r="AZ138" s="59"/>
      <c r="BA138" s="59"/>
      <c r="BB138" s="59"/>
      <c r="BC138" s="59"/>
    </row>
    <row r="139" spans="11:55" ht="12.75" customHeight="1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59"/>
      <c r="AW139" s="59"/>
      <c r="AX139" s="59"/>
      <c r="AY139" s="59"/>
      <c r="AZ139" s="59"/>
      <c r="BA139" s="59"/>
      <c r="BB139" s="59"/>
      <c r="BC139" s="59"/>
    </row>
    <row r="140" spans="11:55" ht="12.75" customHeight="1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59"/>
      <c r="AW140" s="59"/>
      <c r="AX140" s="59"/>
      <c r="AY140" s="59"/>
      <c r="AZ140" s="59"/>
      <c r="BA140" s="59"/>
      <c r="BB140" s="59"/>
      <c r="BC140" s="59"/>
    </row>
    <row r="141" spans="11:55" ht="12.75" customHeight="1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59"/>
      <c r="AW141" s="59"/>
      <c r="AX141" s="59"/>
      <c r="AY141" s="59"/>
      <c r="AZ141" s="59"/>
      <c r="BA141" s="59"/>
      <c r="BB141" s="59"/>
      <c r="BC141" s="59"/>
    </row>
    <row r="142" spans="11:55" ht="12.75" customHeight="1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59"/>
      <c r="AW142" s="59"/>
      <c r="AX142" s="59"/>
      <c r="AY142" s="59"/>
      <c r="AZ142" s="59"/>
      <c r="BA142" s="59"/>
      <c r="BB142" s="59"/>
      <c r="BC142" s="59"/>
    </row>
    <row r="143" spans="11:55" ht="12.75" customHeight="1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59"/>
      <c r="AW143" s="59"/>
      <c r="AX143" s="59"/>
      <c r="AY143" s="59"/>
      <c r="AZ143" s="59"/>
      <c r="BA143" s="59"/>
      <c r="BB143" s="59"/>
      <c r="BC143" s="59"/>
    </row>
    <row r="144" spans="11:55" ht="12.75" customHeight="1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59"/>
      <c r="AW144" s="59"/>
      <c r="AX144" s="59"/>
      <c r="AY144" s="59"/>
      <c r="AZ144" s="59"/>
      <c r="BA144" s="59"/>
      <c r="BB144" s="59"/>
      <c r="BC144" s="59"/>
    </row>
    <row r="145" spans="11:55" ht="12.75" customHeight="1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59"/>
      <c r="AW145" s="59"/>
      <c r="AX145" s="59"/>
      <c r="AY145" s="59"/>
      <c r="AZ145" s="59"/>
      <c r="BA145" s="59"/>
      <c r="BB145" s="59"/>
      <c r="BC145" s="59"/>
    </row>
    <row r="146" spans="11:55" ht="12.75" customHeight="1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59"/>
      <c r="AW146" s="59"/>
      <c r="AX146" s="59"/>
      <c r="AY146" s="59"/>
      <c r="AZ146" s="59"/>
      <c r="BA146" s="59"/>
      <c r="BB146" s="59"/>
      <c r="BC146" s="59"/>
    </row>
    <row r="147" spans="11:55" ht="12.75" customHeight="1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59"/>
      <c r="AW147" s="59"/>
      <c r="AX147" s="59"/>
      <c r="AY147" s="59"/>
      <c r="AZ147" s="59"/>
      <c r="BA147" s="59"/>
      <c r="BB147" s="59"/>
      <c r="BC147" s="59"/>
    </row>
    <row r="148" spans="11:55" ht="12.75" customHeight="1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59"/>
      <c r="AW148" s="59"/>
      <c r="AX148" s="59"/>
      <c r="AY148" s="59"/>
      <c r="AZ148" s="59"/>
      <c r="BA148" s="59"/>
      <c r="BB148" s="59"/>
      <c r="BC148" s="59"/>
    </row>
    <row r="149" spans="11:55" ht="12.75" customHeight="1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59"/>
      <c r="AW149" s="59"/>
      <c r="AX149" s="59"/>
      <c r="AY149" s="59"/>
      <c r="AZ149" s="59"/>
      <c r="BA149" s="59"/>
      <c r="BB149" s="59"/>
      <c r="BC149" s="59"/>
    </row>
    <row r="150" spans="11:55" ht="12.75" customHeight="1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59"/>
      <c r="AW150" s="59"/>
      <c r="AX150" s="59"/>
      <c r="AY150" s="59"/>
      <c r="AZ150" s="59"/>
      <c r="BA150" s="59"/>
      <c r="BB150" s="59"/>
      <c r="BC150" s="59"/>
    </row>
    <row r="151" spans="11:55" ht="12.75" customHeight="1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59"/>
      <c r="AW151" s="59"/>
      <c r="AX151" s="59"/>
      <c r="AY151" s="59"/>
      <c r="AZ151" s="59"/>
      <c r="BA151" s="59"/>
      <c r="BB151" s="59"/>
      <c r="BC151" s="59"/>
    </row>
    <row r="152" spans="11:55" ht="12.75" customHeight="1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59"/>
      <c r="AW152" s="59"/>
      <c r="AX152" s="59"/>
      <c r="AY152" s="59"/>
      <c r="AZ152" s="59"/>
      <c r="BA152" s="59"/>
      <c r="BB152" s="59"/>
      <c r="BC152" s="59"/>
    </row>
    <row r="153" spans="11:55" ht="12.75" customHeight="1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59"/>
      <c r="AW153" s="59"/>
      <c r="AX153" s="59"/>
      <c r="AY153" s="59"/>
      <c r="AZ153" s="59"/>
      <c r="BA153" s="59"/>
      <c r="BB153" s="59"/>
      <c r="BC153" s="59"/>
    </row>
    <row r="154" spans="11:55" ht="12.75" customHeight="1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59"/>
      <c r="AW154" s="59"/>
      <c r="AX154" s="59"/>
      <c r="AY154" s="59"/>
      <c r="AZ154" s="59"/>
      <c r="BA154" s="59"/>
      <c r="BB154" s="59"/>
      <c r="BC154" s="59"/>
    </row>
    <row r="155" spans="11:55" ht="12.75" customHeight="1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59"/>
      <c r="AW155" s="59"/>
      <c r="AX155" s="59"/>
      <c r="AY155" s="59"/>
      <c r="AZ155" s="59"/>
      <c r="BA155" s="59"/>
      <c r="BB155" s="59"/>
      <c r="BC155" s="59"/>
    </row>
    <row r="156" spans="11:55" ht="12.75" customHeight="1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59"/>
      <c r="AW156" s="59"/>
      <c r="AX156" s="59"/>
      <c r="AY156" s="59"/>
      <c r="AZ156" s="59"/>
      <c r="BA156" s="59"/>
      <c r="BB156" s="59"/>
      <c r="BC156" s="59"/>
    </row>
    <row r="157" spans="11:55" ht="12.75" customHeight="1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59"/>
      <c r="AW157" s="59"/>
      <c r="AX157" s="59"/>
      <c r="AY157" s="59"/>
      <c r="AZ157" s="59"/>
      <c r="BA157" s="59"/>
      <c r="BB157" s="59"/>
      <c r="BC157" s="59"/>
    </row>
    <row r="158" spans="11:55" ht="12.75" customHeight="1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59"/>
      <c r="AW158" s="59"/>
      <c r="AX158" s="59"/>
      <c r="AY158" s="59"/>
      <c r="AZ158" s="59"/>
      <c r="BA158" s="59"/>
      <c r="BB158" s="59"/>
      <c r="BC158" s="59"/>
    </row>
    <row r="159" spans="11:55" ht="12.75" customHeight="1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59"/>
      <c r="AW159" s="59"/>
      <c r="AX159" s="59"/>
      <c r="AY159" s="59"/>
      <c r="AZ159" s="59"/>
      <c r="BA159" s="59"/>
      <c r="BB159" s="59"/>
      <c r="BC159" s="59"/>
    </row>
    <row r="160" spans="11:55" ht="12.75" customHeight="1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59"/>
      <c r="AW160" s="59"/>
      <c r="AX160" s="59"/>
      <c r="AY160" s="59"/>
      <c r="AZ160" s="59"/>
      <c r="BA160" s="59"/>
      <c r="BB160" s="59"/>
      <c r="BC160" s="59"/>
    </row>
    <row r="161" spans="11:55" ht="12.75" customHeight="1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59"/>
      <c r="AW161" s="59"/>
      <c r="AX161" s="59"/>
      <c r="AY161" s="59"/>
      <c r="AZ161" s="59"/>
      <c r="BA161" s="59"/>
      <c r="BB161" s="59"/>
      <c r="BC161" s="59"/>
    </row>
    <row r="162" spans="11:55" ht="12.75" customHeight="1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59"/>
      <c r="AW162" s="59"/>
      <c r="AX162" s="59"/>
      <c r="AY162" s="59"/>
      <c r="AZ162" s="59"/>
      <c r="BA162" s="59"/>
      <c r="BB162" s="59"/>
      <c r="BC162" s="59"/>
    </row>
    <row r="163" spans="11:55" ht="12.75" customHeight="1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59"/>
      <c r="AW163" s="59"/>
      <c r="AX163" s="59"/>
      <c r="AY163" s="59"/>
      <c r="AZ163" s="59"/>
      <c r="BA163" s="59"/>
      <c r="BB163" s="59"/>
      <c r="BC163" s="59"/>
    </row>
    <row r="164" spans="11:55" ht="12.75" customHeight="1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59"/>
      <c r="AW164" s="59"/>
      <c r="AX164" s="59"/>
      <c r="AY164" s="59"/>
      <c r="AZ164" s="59"/>
      <c r="BA164" s="59"/>
      <c r="BB164" s="59"/>
      <c r="BC164" s="59"/>
    </row>
    <row r="165" spans="11:55" ht="12.75" customHeight="1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59"/>
      <c r="AW165" s="59"/>
      <c r="AX165" s="59"/>
      <c r="AY165" s="59"/>
      <c r="AZ165" s="59"/>
      <c r="BA165" s="59"/>
      <c r="BB165" s="59"/>
      <c r="BC165" s="59"/>
    </row>
    <row r="166" spans="11:55" ht="12.75" customHeight="1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59"/>
      <c r="AW166" s="59"/>
      <c r="AX166" s="59"/>
      <c r="AY166" s="59"/>
      <c r="AZ166" s="59"/>
      <c r="BA166" s="59"/>
      <c r="BB166" s="59"/>
      <c r="BC166" s="59"/>
    </row>
    <row r="167" spans="11:55" ht="12.75" customHeight="1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59"/>
      <c r="AW167" s="59"/>
      <c r="AX167" s="59"/>
      <c r="AY167" s="59"/>
      <c r="AZ167" s="59"/>
      <c r="BA167" s="59"/>
      <c r="BB167" s="59"/>
      <c r="BC167" s="59"/>
    </row>
    <row r="168" spans="11:55" ht="12.75" customHeight="1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59"/>
      <c r="AW168" s="59"/>
      <c r="AX168" s="59"/>
      <c r="AY168" s="59"/>
      <c r="AZ168" s="59"/>
      <c r="BA168" s="59"/>
      <c r="BB168" s="59"/>
      <c r="BC168" s="59"/>
    </row>
    <row r="169" spans="11:55" ht="12.75" customHeight="1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59"/>
      <c r="AW169" s="59"/>
      <c r="AX169" s="59"/>
      <c r="AY169" s="59"/>
      <c r="AZ169" s="59"/>
      <c r="BA169" s="59"/>
      <c r="BB169" s="59"/>
      <c r="BC169" s="59"/>
    </row>
    <row r="170" spans="11:55" ht="12.75" customHeight="1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59"/>
      <c r="AW170" s="59"/>
      <c r="AX170" s="59"/>
      <c r="AY170" s="59"/>
      <c r="AZ170" s="59"/>
      <c r="BA170" s="59"/>
      <c r="BB170" s="59"/>
      <c r="BC170" s="59"/>
    </row>
    <row r="171" spans="11:55" ht="12.75" customHeight="1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59"/>
      <c r="AW171" s="59"/>
      <c r="AX171" s="59"/>
      <c r="AY171" s="59"/>
      <c r="AZ171" s="59"/>
      <c r="BA171" s="59"/>
      <c r="BB171" s="59"/>
      <c r="BC171" s="59"/>
    </row>
    <row r="172" spans="11:55" ht="12.75" customHeight="1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59"/>
      <c r="AW172" s="59"/>
      <c r="AX172" s="59"/>
      <c r="AY172" s="59"/>
      <c r="AZ172" s="59"/>
      <c r="BA172" s="59"/>
      <c r="BB172" s="59"/>
      <c r="BC172" s="59"/>
    </row>
    <row r="173" spans="11:55" ht="12.75" customHeight="1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59"/>
      <c r="AW173" s="59"/>
      <c r="AX173" s="59"/>
      <c r="AY173" s="59"/>
      <c r="AZ173" s="59"/>
      <c r="BA173" s="59"/>
      <c r="BB173" s="59"/>
      <c r="BC173" s="59"/>
    </row>
    <row r="174" spans="11:55" ht="12.75" customHeight="1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59"/>
      <c r="AW174" s="59"/>
      <c r="AX174" s="59"/>
      <c r="AY174" s="59"/>
      <c r="AZ174" s="59"/>
      <c r="BA174" s="59"/>
      <c r="BB174" s="59"/>
      <c r="BC174" s="59"/>
    </row>
    <row r="175" spans="11:55" ht="12.75" customHeight="1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59"/>
      <c r="AW175" s="59"/>
      <c r="AX175" s="59"/>
      <c r="AY175" s="59"/>
      <c r="AZ175" s="59"/>
      <c r="BA175" s="59"/>
      <c r="BB175" s="59"/>
      <c r="BC175" s="59"/>
    </row>
    <row r="176" spans="11:55" ht="12.75" customHeight="1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59"/>
      <c r="AW176" s="59"/>
      <c r="AX176" s="59"/>
      <c r="AY176" s="59"/>
      <c r="AZ176" s="59"/>
      <c r="BA176" s="59"/>
      <c r="BB176" s="59"/>
      <c r="BC176" s="59"/>
    </row>
    <row r="177" spans="11:55" ht="12.75" customHeight="1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59"/>
      <c r="AW177" s="59"/>
      <c r="AX177" s="59"/>
      <c r="AY177" s="59"/>
      <c r="AZ177" s="59"/>
      <c r="BA177" s="59"/>
      <c r="BB177" s="59"/>
      <c r="BC177" s="59"/>
    </row>
    <row r="178" spans="11:55" ht="12.75" customHeight="1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59"/>
      <c r="AW178" s="59"/>
      <c r="AX178" s="59"/>
      <c r="AY178" s="59"/>
      <c r="AZ178" s="59"/>
      <c r="BA178" s="59"/>
      <c r="BB178" s="59"/>
      <c r="BC178" s="59"/>
    </row>
    <row r="179" spans="11:55" ht="12.75" customHeight="1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59"/>
      <c r="AW179" s="59"/>
      <c r="AX179" s="59"/>
      <c r="AY179" s="59"/>
      <c r="AZ179" s="59"/>
      <c r="BA179" s="59"/>
      <c r="BB179" s="59"/>
      <c r="BC179" s="59"/>
    </row>
    <row r="180" spans="11:55" ht="12.75" customHeight="1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59"/>
      <c r="AW180" s="59"/>
      <c r="AX180" s="59"/>
      <c r="AY180" s="59"/>
      <c r="AZ180" s="59"/>
      <c r="BA180" s="59"/>
      <c r="BB180" s="59"/>
      <c r="BC180" s="59"/>
    </row>
    <row r="181" spans="11:55" ht="12.75" customHeight="1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59"/>
      <c r="AW181" s="59"/>
      <c r="AX181" s="59"/>
      <c r="AY181" s="59"/>
      <c r="AZ181" s="59"/>
      <c r="BA181" s="59"/>
      <c r="BB181" s="59"/>
      <c r="BC181" s="59"/>
    </row>
    <row r="182" spans="11:55" ht="12.75" customHeight="1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59"/>
      <c r="AW182" s="59"/>
      <c r="AX182" s="59"/>
      <c r="AY182" s="59"/>
      <c r="AZ182" s="59"/>
      <c r="BA182" s="59"/>
      <c r="BB182" s="59"/>
      <c r="BC182" s="59"/>
    </row>
    <row r="183" spans="11:55" ht="12.75" customHeight="1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59"/>
      <c r="AW183" s="59"/>
      <c r="AX183" s="59"/>
      <c r="AY183" s="59"/>
      <c r="AZ183" s="59"/>
      <c r="BA183" s="59"/>
      <c r="BB183" s="59"/>
      <c r="BC183" s="59"/>
    </row>
    <row r="184" spans="11:55" ht="12.75" customHeight="1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59"/>
      <c r="AW184" s="59"/>
      <c r="AX184" s="59"/>
      <c r="AY184" s="59"/>
      <c r="AZ184" s="59"/>
      <c r="BA184" s="59"/>
      <c r="BB184" s="59"/>
      <c r="BC184" s="59"/>
    </row>
    <row r="185" spans="11:55" ht="12.75" customHeight="1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59"/>
      <c r="AW185" s="59"/>
      <c r="AX185" s="59"/>
      <c r="AY185" s="59"/>
      <c r="AZ185" s="59"/>
      <c r="BA185" s="59"/>
      <c r="BB185" s="59"/>
      <c r="BC185" s="59"/>
    </row>
    <row r="186" spans="1:55" ht="12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</row>
    <row r="187" spans="1:55" ht="12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</row>
    <row r="188" spans="1:55" ht="12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</row>
    <row r="189" spans="1:55" ht="12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</row>
    <row r="190" spans="1:55" ht="12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</row>
    <row r="191" spans="1:55" ht="12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</row>
    <row r="192" spans="1:55" ht="12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</row>
    <row r="193" spans="1:55" ht="12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</row>
    <row r="194" spans="1:55" ht="12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</row>
    <row r="195" spans="1:55" ht="12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</row>
    <row r="196" spans="1:55" ht="12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</row>
    <row r="197" spans="1:55" ht="12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</row>
    <row r="198" spans="1:55" ht="12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</row>
    <row r="199" spans="1:55" ht="12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</row>
    <row r="200" spans="1:55" ht="12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</row>
    <row r="201" spans="1:55" ht="12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</row>
    <row r="202" spans="1:55" ht="12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</row>
    <row r="203" spans="1:55" ht="12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</row>
    <row r="204" spans="1:55" ht="12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</row>
    <row r="205" spans="1:55" ht="12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</row>
    <row r="206" spans="1:55" ht="12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</row>
    <row r="207" spans="1:55" ht="12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</row>
    <row r="208" spans="1:55" ht="12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</row>
    <row r="209" spans="1:55" ht="12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</row>
    <row r="210" spans="1:55" ht="12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</row>
    <row r="211" spans="1:55" ht="12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</row>
    <row r="212" spans="1:55" ht="12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</row>
    <row r="213" spans="1:55" ht="12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</row>
    <row r="214" spans="1:55" ht="12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</row>
    <row r="215" spans="1:55" ht="12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</row>
    <row r="216" spans="1:55" ht="12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</row>
    <row r="217" spans="1:55" ht="12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</row>
    <row r="218" spans="1:55" ht="12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</row>
    <row r="219" spans="1:55" ht="12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</row>
    <row r="220" spans="1:55" ht="12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</row>
    <row r="221" spans="1:55" ht="12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</row>
    <row r="222" spans="1:55" ht="12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</row>
    <row r="223" spans="1:55" ht="12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</row>
    <row r="224" spans="1:55" ht="12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</row>
    <row r="225" spans="1:55" ht="12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</row>
    <row r="226" spans="1:55" ht="12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</row>
    <row r="227" spans="1:55" ht="12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</row>
    <row r="228" spans="1:55" ht="12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</row>
    <row r="229" spans="1:55" ht="12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</row>
    <row r="230" spans="1:55" ht="12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</row>
    <row r="231" spans="1:55" ht="12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</row>
    <row r="232" spans="1:55" ht="12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</row>
    <row r="233" spans="1:55" ht="12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</row>
    <row r="234" spans="1:55" ht="12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</row>
    <row r="235" spans="1:55" ht="12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</row>
    <row r="236" spans="1:55" ht="12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</row>
    <row r="237" spans="1:55" ht="12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</row>
    <row r="238" spans="1:55" ht="12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</row>
    <row r="239" spans="1:55" ht="12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</row>
    <row r="240" spans="1:55" ht="12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</row>
    <row r="241" spans="1:55" ht="12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</row>
    <row r="242" spans="1:55" ht="12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</row>
    <row r="243" spans="1:55" ht="12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</row>
    <row r="244" spans="1:55" ht="12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</row>
    <row r="245" spans="1:55" ht="12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</row>
    <row r="246" spans="1:55" ht="12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</row>
    <row r="247" spans="1:55" ht="12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</row>
    <row r="248" spans="1:55" ht="12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</row>
    <row r="249" spans="1:55" ht="12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</row>
    <row r="250" spans="1:55" ht="12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</row>
    <row r="251" spans="1:55" ht="12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</row>
    <row r="252" spans="1:55" ht="12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</row>
    <row r="253" spans="1:55" ht="12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</row>
    <row r="254" spans="1:55" ht="12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</row>
    <row r="255" spans="1:55" ht="12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</row>
    <row r="256" spans="1:55" ht="12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</row>
    <row r="257" spans="1:55" ht="12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</row>
    <row r="258" spans="1:55" ht="12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</row>
    <row r="259" spans="1:55" ht="12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</row>
    <row r="260" spans="1:55" ht="12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</row>
    <row r="261" spans="1:55" ht="12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</row>
    <row r="262" spans="1:55" ht="12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</row>
    <row r="263" spans="1:55" ht="12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</row>
    <row r="264" spans="1:55" ht="12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</row>
    <row r="265" spans="1:55" ht="12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</row>
    <row r="266" spans="1:55" ht="12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</row>
    <row r="267" spans="1:55" ht="12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</row>
    <row r="268" spans="1:55" ht="12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</row>
    <row r="269" spans="1:55" ht="12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</row>
    <row r="270" spans="1:55" ht="12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</row>
    <row r="271" spans="1:55" ht="12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</row>
    <row r="272" spans="1:55" ht="12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</row>
    <row r="273" spans="1:55" ht="12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</row>
    <row r="274" spans="1:55" ht="12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</row>
    <row r="275" spans="1:55" ht="12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</row>
    <row r="276" spans="1:55" ht="12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</row>
    <row r="277" spans="1:55" ht="12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</row>
    <row r="278" spans="1:55" ht="12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</row>
    <row r="279" spans="1:55" ht="12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</row>
    <row r="280" spans="1:55" ht="12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</row>
    <row r="281" spans="1:55" ht="12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</row>
    <row r="282" spans="1:55" ht="12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</row>
    <row r="283" spans="1:55" ht="12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</row>
    <row r="284" spans="1:55" ht="12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</row>
    <row r="285" spans="1:55" ht="12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</row>
    <row r="286" spans="1:55" ht="12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</row>
    <row r="287" spans="1:55" ht="12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</row>
    <row r="288" spans="1:55" ht="12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</row>
    <row r="289" spans="1:55" ht="12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</row>
    <row r="290" spans="1:55" ht="12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</row>
    <row r="291" spans="1:55" ht="12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</row>
    <row r="292" spans="1:55" ht="12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</row>
    <row r="293" spans="1:55" ht="12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</row>
    <row r="294" spans="1:55" ht="12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</row>
    <row r="295" spans="1:55" ht="12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</row>
    <row r="296" spans="1:55" ht="12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</row>
    <row r="297" spans="1:55" ht="12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</row>
    <row r="298" spans="1:55" ht="12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</row>
    <row r="299" spans="1:55" ht="12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</row>
    <row r="300" spans="1:55" ht="12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</row>
    <row r="301" spans="1:55" ht="12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</row>
    <row r="302" spans="1:55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</row>
    <row r="303" spans="1:55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</row>
    <row r="304" spans="1:55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</row>
    <row r="305" spans="1:55" ht="12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</row>
    <row r="306" spans="1:55" ht="12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</row>
    <row r="307" spans="1:55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</row>
    <row r="308" spans="1:55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</row>
    <row r="309" spans="1:55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</row>
    <row r="310" spans="1:55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</row>
    <row r="311" spans="1:55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</row>
    <row r="312" spans="1:55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</row>
    <row r="313" spans="1:55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</row>
    <row r="314" spans="1:55" ht="12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</row>
    <row r="315" spans="1:55" ht="12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</row>
    <row r="316" spans="1:55" ht="12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</row>
    <row r="317" spans="1:55" ht="12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</row>
    <row r="318" spans="1:55" ht="12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</row>
    <row r="319" spans="1:55" ht="12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</row>
    <row r="320" spans="1:55" ht="12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</row>
    <row r="321" spans="1:55" ht="12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</row>
    <row r="322" spans="1:55" ht="12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</row>
    <row r="323" spans="1:55" ht="12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</row>
    <row r="324" spans="1:55" ht="12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</row>
    <row r="325" spans="1:55" ht="12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</row>
    <row r="326" spans="1:55" ht="12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</row>
    <row r="327" spans="1:55" ht="12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</row>
    <row r="328" spans="1:55" ht="12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</row>
    <row r="329" spans="1:55" ht="12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</row>
    <row r="330" spans="1:55" ht="12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</row>
    <row r="331" spans="1:55" ht="12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</row>
    <row r="332" spans="1:55" ht="12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</row>
    <row r="333" spans="1:55" ht="12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</row>
    <row r="334" spans="1:55" ht="12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</row>
    <row r="335" spans="1:55" ht="12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</row>
    <row r="336" spans="1:55" ht="12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</row>
    <row r="337" spans="1:55" ht="12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</row>
    <row r="338" spans="1:55" ht="12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</row>
    <row r="339" spans="1:55" ht="12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</row>
    <row r="340" spans="1:55" ht="12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</row>
    <row r="341" spans="1:55" ht="12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</row>
    <row r="342" spans="1:55" ht="12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</row>
    <row r="343" spans="1:55" ht="12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</row>
    <row r="344" spans="1:55" ht="12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</row>
    <row r="345" spans="1:55" ht="12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</row>
    <row r="346" spans="1:55" ht="12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</row>
    <row r="347" spans="1:55" ht="12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</row>
    <row r="348" spans="1:55" ht="12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</row>
    <row r="349" spans="1:55" ht="12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</row>
    <row r="350" spans="1:55" ht="12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</row>
    <row r="351" spans="1:55" ht="12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</row>
    <row r="352" spans="1:55" ht="12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</row>
    <row r="353" spans="1:55" ht="12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</row>
    <row r="354" spans="1:55" ht="12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</row>
    <row r="355" spans="1:55" ht="12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</row>
    <row r="356" spans="1:55" ht="12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</row>
    <row r="357" spans="1:55" ht="12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</row>
    <row r="358" spans="1:55" ht="12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</row>
    <row r="359" spans="1:55" ht="12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</row>
    <row r="360" spans="1:55" ht="12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</row>
    <row r="361" spans="1:55" ht="12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</row>
    <row r="362" spans="1:55" ht="12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</row>
    <row r="363" spans="1:55" ht="12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</row>
    <row r="364" spans="1:55" ht="12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</row>
    <row r="365" spans="1:55" ht="12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</row>
    <row r="366" spans="1:49" ht="12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</row>
    <row r="367" spans="1:49" ht="12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</row>
    <row r="368" spans="1:49" ht="12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</row>
    <row r="369" spans="1:49" ht="12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</row>
    <row r="370" spans="1:49" ht="12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</row>
    <row r="371" spans="1:49" ht="12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</row>
    <row r="372" spans="1:49" ht="12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</row>
    <row r="373" spans="1:49" ht="12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</row>
    <row r="374" spans="1:49" ht="12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</row>
    <row r="375" spans="1:49" ht="12.75" customHeight="1">
      <c r="A375" s="61"/>
      <c r="B375" s="30"/>
      <c r="C375" s="30"/>
      <c r="D375" s="30"/>
      <c r="E375" s="30"/>
      <c r="F375" s="30"/>
      <c r="G375" s="30"/>
      <c r="H375" s="30"/>
      <c r="I375" s="30"/>
      <c r="J375" s="30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</row>
    <row r="376" spans="1:49" ht="12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</row>
    <row r="377" spans="1:49" ht="12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</row>
    <row r="378" spans="1:49" ht="12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</row>
    <row r="379" spans="1:49" ht="12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</row>
    <row r="380" spans="1:49" ht="12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</row>
    <row r="381" spans="1:49" ht="12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</row>
    <row r="382" spans="1:49" ht="12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</row>
    <row r="383" spans="1:49" ht="12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</row>
    <row r="384" spans="1:49" ht="12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</row>
    <row r="385" spans="1:49" ht="12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</row>
    <row r="386" spans="1:49" ht="12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</row>
    <row r="387" spans="1:49" ht="12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</row>
    <row r="388" spans="1:49" ht="12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</row>
    <row r="389" spans="1:49" ht="12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</row>
    <row r="390" spans="1:49" ht="12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</row>
    <row r="391" spans="1:49" ht="12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</row>
    <row r="392" spans="1:49" ht="12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</row>
    <row r="393" spans="1:49" ht="12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</row>
    <row r="394" spans="1:49" ht="12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</row>
    <row r="395" spans="1:49" ht="12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</row>
    <row r="396" spans="1:49" ht="12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</row>
    <row r="397" spans="1:49" ht="12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</row>
    <row r="398" spans="1:49" ht="12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</row>
    <row r="399" spans="1:49" ht="12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</row>
    <row r="400" spans="1:49" ht="12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</row>
    <row r="401" spans="1:49" ht="12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</row>
    <row r="402" spans="1:49" ht="12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</row>
    <row r="403" spans="1:49" ht="12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</row>
    <row r="404" spans="1:49" ht="12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</row>
    <row r="405" spans="1:49" ht="12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</row>
    <row r="406" spans="1:49" ht="12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</row>
    <row r="407" spans="1:49" ht="12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</row>
    <row r="408" spans="1:49" ht="12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</row>
    <row r="409" spans="1:49" ht="12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</row>
    <row r="410" spans="1:49" ht="12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</row>
    <row r="411" spans="1:49" ht="12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</row>
    <row r="412" spans="1:49" ht="12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</row>
    <row r="413" spans="1:49" ht="12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</row>
    <row r="414" spans="1:49" ht="12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</row>
    <row r="415" spans="1:49" ht="12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</row>
    <row r="416" spans="1:49" ht="12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</row>
    <row r="417" spans="1:49" ht="12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</row>
    <row r="418" spans="1:49" ht="12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</row>
    <row r="419" spans="1:49" ht="12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</row>
    <row r="420" spans="1:49" ht="12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</row>
    <row r="421" spans="1:49" ht="12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</row>
    <row r="422" spans="1:49" ht="12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</row>
    <row r="423" spans="1:49" ht="12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</row>
    <row r="424" spans="1:49" ht="12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</row>
    <row r="425" spans="1:49" ht="12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</row>
    <row r="426" spans="1:49" ht="12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</row>
    <row r="427" spans="1:49" ht="12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</row>
    <row r="428" spans="1:49" ht="12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</row>
    <row r="429" spans="1:49" ht="12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</row>
    <row r="430" spans="1:49" ht="12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</row>
    <row r="431" spans="1:49" ht="12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</row>
    <row r="432" spans="1:49" ht="12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</row>
    <row r="433" spans="1:49" ht="12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</row>
    <row r="434" spans="1:49" ht="12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</row>
    <row r="435" spans="1:49" ht="12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</row>
    <row r="436" spans="1:49" ht="12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</row>
    <row r="437" spans="1:49" ht="12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</row>
    <row r="438" spans="1:49" ht="12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</row>
    <row r="439" spans="1:49" ht="12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</row>
    <row r="440" spans="1:49" ht="12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</row>
    <row r="441" spans="1:49" ht="12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</row>
    <row r="442" spans="1:49" ht="12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</row>
    <row r="443" spans="1:49" ht="12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</row>
    <row r="444" spans="1:49" ht="12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</row>
    <row r="445" spans="1:49" ht="12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</row>
    <row r="446" spans="1:49" ht="12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</row>
    <row r="447" spans="1:49" ht="12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</row>
    <row r="448" spans="1:49" ht="12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</row>
    <row r="449" spans="1:49" ht="12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</row>
    <row r="450" spans="1:49" ht="12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</row>
    <row r="451" spans="1:49" ht="12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</row>
    <row r="452" spans="1:49" ht="12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</row>
    <row r="453" spans="1:49" ht="12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</row>
    <row r="454" spans="1:49" ht="12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</row>
    <row r="455" spans="1:49" ht="12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</row>
    <row r="456" spans="1:49" ht="12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</row>
    <row r="457" spans="1:49" ht="12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</row>
    <row r="458" spans="1:49" ht="12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</row>
    <row r="459" spans="1:49" ht="12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</row>
    <row r="460" spans="1:49" ht="12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</row>
    <row r="461" spans="1:49" ht="12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</row>
    <row r="462" spans="1:49" ht="12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</row>
    <row r="463" spans="1:49" ht="12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</row>
    <row r="464" spans="1:49" ht="12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</row>
    <row r="465" spans="1:49" ht="12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</row>
    <row r="466" spans="1:49" ht="12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</row>
    <row r="467" spans="1:49" ht="12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</row>
    <row r="468" spans="1:49" ht="12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</row>
    <row r="469" spans="1:49" ht="12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</row>
    <row r="470" spans="1:49" ht="12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</row>
    <row r="471" spans="1:49" ht="12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</row>
    <row r="472" spans="1:49" ht="12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</row>
    <row r="473" spans="1:49" ht="12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</row>
    <row r="474" spans="1:49" ht="12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</row>
    <row r="475" spans="1:49" ht="12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</row>
    <row r="476" spans="1:49" ht="12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</row>
    <row r="477" spans="1:49" ht="12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</row>
    <row r="478" spans="1:49" ht="12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</row>
    <row r="479" spans="1:49" ht="12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</row>
    <row r="480" spans="1:49" ht="12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</row>
    <row r="481" spans="1:49" ht="12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</row>
    <row r="482" spans="1:49" ht="12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</row>
    <row r="483" spans="1:49" ht="12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</row>
    <row r="484" spans="1:49" ht="12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</row>
    <row r="485" spans="1:49" ht="12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</row>
    <row r="486" spans="1:49" ht="12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</row>
    <row r="487" spans="1:49" ht="12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</row>
    <row r="488" spans="1:49" ht="12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</row>
    <row r="489" spans="1:49" ht="12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</row>
    <row r="490" spans="1:49" ht="12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</row>
    <row r="491" spans="1:49" ht="12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</row>
    <row r="492" spans="1:49" ht="12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</row>
    <row r="493" spans="1:49" ht="12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</row>
    <row r="494" spans="1:49" ht="12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</row>
    <row r="495" spans="1:49" ht="12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</row>
    <row r="496" spans="1:49" ht="12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</row>
    <row r="497" spans="1:49" ht="12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</row>
    <row r="498" spans="1:49" ht="12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</row>
    <row r="499" spans="1:49" ht="12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</row>
    <row r="500" spans="1:49" ht="12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</row>
    <row r="501" spans="1:49" ht="12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</row>
    <row r="502" spans="1:49" ht="12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</row>
    <row r="503" spans="1:49" ht="12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</row>
    <row r="504" spans="1:49" ht="12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</row>
    <row r="505" spans="1:49" ht="12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</row>
    <row r="506" spans="1:49" ht="12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</row>
    <row r="507" spans="1:49" ht="12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</row>
    <row r="508" spans="1:49" ht="12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</row>
    <row r="509" spans="1:49" ht="12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</row>
    <row r="510" spans="1:49" ht="12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</row>
    <row r="511" spans="1:49" ht="12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</row>
    <row r="512" spans="1:49" ht="12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</row>
    <row r="513" spans="1:49" ht="12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</row>
    <row r="514" spans="1:49" ht="12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</row>
    <row r="515" spans="1:49" ht="12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</row>
    <row r="516" spans="1:49" ht="12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</row>
    <row r="517" spans="1:49" ht="12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</row>
    <row r="518" spans="1:49" ht="12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</row>
    <row r="519" spans="1:49" ht="12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</row>
    <row r="520" spans="1:49" ht="12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</row>
    <row r="521" spans="1:49" ht="12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</row>
    <row r="522" spans="1:49" ht="12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</row>
    <row r="523" spans="1:49" ht="12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</row>
    <row r="524" spans="1:49" ht="12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</row>
    <row r="525" spans="1:49" ht="12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</row>
    <row r="526" spans="1:49" ht="12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</row>
    <row r="527" spans="1:49" ht="12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</row>
    <row r="528" spans="1:49" ht="12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</row>
    <row r="529" spans="1:49" ht="12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</row>
    <row r="530" spans="1:49" ht="12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</row>
    <row r="531" spans="1:49" ht="12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</row>
    <row r="532" spans="1:49" ht="12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</row>
    <row r="533" spans="1:49" ht="12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</row>
    <row r="534" spans="1:49" ht="12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</row>
    <row r="535" spans="1:49" ht="12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</row>
    <row r="536" spans="1:49" ht="12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</row>
    <row r="537" spans="1:49" ht="12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</row>
    <row r="538" spans="1:49" ht="12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</row>
    <row r="539" spans="1:49" ht="12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</row>
    <row r="540" spans="1:49" ht="12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</row>
    <row r="541" spans="1:49" ht="12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</row>
    <row r="542" spans="1:49" ht="12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</row>
    <row r="543" spans="1:49" ht="12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</row>
    <row r="544" spans="1:49" ht="12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</row>
    <row r="545" spans="1:49" ht="12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</row>
    <row r="546" spans="1:49" ht="12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</row>
    <row r="547" spans="1:49" ht="12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</row>
    <row r="548" spans="1:49" ht="12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</row>
    <row r="549" spans="1:49" ht="12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</row>
    <row r="550" spans="1:49" ht="12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</row>
    <row r="551" spans="1:49" ht="12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</row>
    <row r="552" spans="1:49" ht="12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</row>
    <row r="553" spans="1:49" ht="12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</row>
    <row r="554" spans="1:49" ht="12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</row>
    <row r="555" spans="1:49" ht="12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</row>
    <row r="556" spans="1:49" ht="12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</row>
    <row r="557" spans="1:49" ht="12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</row>
    <row r="558" spans="1:49" ht="12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</row>
    <row r="559" spans="1:49" ht="12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</row>
    <row r="560" spans="1:49" ht="12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</row>
    <row r="561" spans="1:49" ht="12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</row>
    <row r="562" spans="1:49" ht="12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</row>
    <row r="563" spans="1:49" ht="12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</row>
    <row r="564" spans="1:49" ht="12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</row>
    <row r="565" spans="1:49" ht="12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</row>
    <row r="566" spans="1:49" ht="12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</row>
    <row r="567" spans="1:49" ht="12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</row>
    <row r="568" spans="1:49" ht="12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</row>
    <row r="569" spans="1:49" ht="12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</row>
    <row r="570" spans="1:49" ht="12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</row>
    <row r="571" spans="1:49" ht="12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</row>
    <row r="572" spans="1:49" ht="12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</row>
    <row r="573" spans="1:49" ht="12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</row>
    <row r="574" spans="1:49" ht="12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</row>
    <row r="575" spans="1:49" ht="12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</row>
    <row r="576" spans="1:49" ht="12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</row>
    <row r="577" spans="1:49" ht="12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</row>
    <row r="578" spans="1:49" ht="12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</row>
    <row r="579" spans="1:49" ht="12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</row>
    <row r="580" spans="1:49" ht="12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</row>
    <row r="581" spans="1:49" ht="12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</row>
    <row r="582" spans="1:49" ht="12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</row>
    <row r="583" spans="1:49" ht="12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</row>
    <row r="584" spans="1:49" ht="12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</row>
    <row r="585" spans="1:49" ht="12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</row>
    <row r="586" spans="1:49" ht="12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</row>
    <row r="587" spans="1:49" ht="12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</row>
    <row r="588" spans="1:49" ht="12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</row>
    <row r="589" spans="1:49" ht="12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</row>
    <row r="590" spans="1:49" ht="12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</row>
    <row r="591" spans="1:49" ht="12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</row>
    <row r="592" spans="1:49" ht="12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</row>
    <row r="593" spans="1:49" ht="12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</row>
    <row r="594" spans="1:49" ht="12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</row>
    <row r="595" spans="1:49" ht="12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</row>
    <row r="596" spans="1:49" ht="12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</row>
    <row r="597" spans="1:49" ht="12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</row>
    <row r="598" spans="1:49" ht="12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</row>
    <row r="599" spans="1:49" ht="12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</row>
    <row r="600" spans="1:49" ht="12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</row>
    <row r="601" spans="1:49" ht="12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</row>
    <row r="602" spans="1:49" ht="12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</row>
    <row r="603" spans="1:49" ht="12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</row>
    <row r="604" spans="1:49" ht="12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</row>
    <row r="605" spans="1:49" ht="12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</row>
    <row r="606" spans="1:49" ht="12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</row>
    <row r="607" spans="1:49" ht="12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</row>
    <row r="608" spans="1:49" ht="12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</row>
    <row r="609" spans="1:49" ht="12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</row>
    <row r="610" spans="1:49" ht="12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</row>
    <row r="611" spans="1:49" ht="12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</row>
    <row r="612" spans="1:49" ht="12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</row>
    <row r="613" spans="1:49" ht="12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</row>
    <row r="614" spans="1:49" ht="12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</row>
    <row r="615" spans="1:49" ht="12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</row>
    <row r="616" spans="1:49" ht="12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</row>
    <row r="617" spans="1:49" ht="12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</row>
    <row r="618" spans="1:49" ht="12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</row>
    <row r="619" spans="1:49" ht="12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</row>
    <row r="620" spans="1:49" ht="12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</row>
    <row r="621" spans="1:49" ht="12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</row>
    <row r="622" spans="1:49" ht="12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</row>
    <row r="623" spans="1:49" ht="12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</row>
    <row r="624" spans="1:49" ht="12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</row>
    <row r="625" spans="1:49" ht="12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</row>
    <row r="626" spans="1:49" ht="12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</row>
    <row r="627" spans="1:49" ht="12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</row>
    <row r="628" spans="1:49" ht="12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</row>
    <row r="629" spans="1:49" ht="12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</row>
    <row r="630" spans="1:49" ht="12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</row>
    <row r="631" spans="1:49" ht="12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</row>
    <row r="632" spans="1:49" ht="12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</row>
    <row r="633" spans="1:49" ht="12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</row>
    <row r="634" spans="1:49" ht="12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</row>
    <row r="635" spans="1:49" ht="12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</row>
    <row r="636" spans="1:49" ht="12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</row>
    <row r="637" spans="1:49" ht="12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</row>
    <row r="638" spans="1:49" ht="12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</row>
    <row r="639" spans="1:49" ht="12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</row>
    <row r="640" spans="1:49" ht="12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</row>
    <row r="641" spans="1:49" ht="12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</row>
    <row r="642" spans="1:49" ht="12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</row>
    <row r="643" spans="1:49" ht="12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</row>
    <row r="644" spans="1:49" ht="12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</row>
    <row r="645" spans="1:49" ht="12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</row>
    <row r="646" spans="1:49" ht="12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</row>
    <row r="647" spans="1:49" ht="12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</row>
    <row r="648" spans="1:49" ht="12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</row>
    <row r="649" spans="1:49" ht="12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</row>
    <row r="650" spans="1:49" ht="12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</row>
    <row r="651" spans="1:49" ht="12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</row>
    <row r="652" spans="1:49" ht="12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</row>
    <row r="653" spans="1:49" ht="12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</row>
    <row r="654" spans="1:49" ht="12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</row>
    <row r="655" spans="1:49" ht="12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</row>
    <row r="656" spans="1:49" ht="12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</row>
    <row r="657" spans="1:49" ht="12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</row>
    <row r="658" spans="1:49" ht="12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</row>
    <row r="659" spans="1:49" ht="12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</row>
    <row r="660" spans="1:49" ht="12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</row>
    <row r="661" spans="1:49" ht="12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</row>
    <row r="662" spans="1:49" ht="12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</row>
    <row r="663" spans="1:49" ht="12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</row>
    <row r="664" spans="1:49" ht="12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</row>
    <row r="665" spans="1:49" ht="12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</row>
    <row r="666" spans="1:49" ht="12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</row>
    <row r="667" spans="1:49" ht="12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</row>
    <row r="668" spans="1:49" ht="12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</row>
    <row r="669" spans="1:49" ht="12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</row>
    <row r="670" spans="1:49" ht="12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</row>
    <row r="671" spans="1:49" ht="12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</row>
    <row r="672" spans="1:49" ht="12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</row>
    <row r="673" spans="1:49" ht="12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</row>
    <row r="674" spans="1:49" ht="12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</row>
    <row r="675" spans="1:49" ht="12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</row>
    <row r="676" spans="1:49" ht="12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</row>
    <row r="677" spans="1:49" ht="12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</row>
    <row r="678" spans="1:49" ht="12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</row>
    <row r="679" spans="1:49" ht="12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</row>
    <row r="680" spans="1:49" ht="12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</row>
    <row r="681" spans="1:49" ht="12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</row>
    <row r="682" spans="1:49" ht="12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</row>
    <row r="683" spans="1:49" ht="12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</row>
    <row r="684" spans="1:49" ht="12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</row>
    <row r="685" spans="1:49" ht="12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</row>
    <row r="686" spans="1:49" ht="12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</row>
    <row r="687" spans="1:49" ht="12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</row>
    <row r="688" spans="1:49" ht="12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</row>
    <row r="689" spans="1:49" ht="12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</row>
    <row r="690" spans="1:49" ht="12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</row>
    <row r="691" spans="1:49" ht="12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</row>
    <row r="692" spans="1:49" ht="12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</row>
    <row r="693" spans="1:49" ht="12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</row>
    <row r="694" spans="1:49" ht="12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</row>
    <row r="695" spans="1:49" ht="12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</row>
    <row r="696" spans="1:49" ht="12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</row>
    <row r="697" spans="1:49" ht="12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</row>
    <row r="698" spans="1:49" ht="12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</row>
    <row r="699" spans="1:49" ht="12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</row>
    <row r="700" spans="1:49" ht="12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</row>
    <row r="701" spans="1:49" ht="12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</row>
    <row r="702" spans="1:49" ht="12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</row>
    <row r="703" spans="1:49" ht="12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</row>
    <row r="704" spans="1:49" ht="12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</row>
    <row r="705" spans="1:49" ht="12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</row>
    <row r="706" spans="1:49" ht="12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</row>
    <row r="707" spans="1:49" ht="12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</row>
    <row r="708" spans="1:49" ht="12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</row>
    <row r="709" spans="1:49" ht="12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</row>
    <row r="710" spans="1:49" ht="12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</row>
    <row r="711" spans="1:49" ht="12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</row>
    <row r="712" spans="1:49" ht="12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</row>
    <row r="713" spans="1:49" ht="12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</row>
    <row r="714" spans="1:49" ht="12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</row>
    <row r="715" spans="1:49" ht="12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</row>
    <row r="716" spans="1:49" ht="12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</row>
    <row r="717" spans="1:49" ht="12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</row>
    <row r="718" spans="1:49" ht="12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</row>
    <row r="719" spans="1:49" ht="12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</row>
    <row r="720" spans="1:49" ht="12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</row>
    <row r="721" spans="1:49" ht="12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</row>
    <row r="722" spans="1:49" ht="12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</row>
    <row r="723" spans="1:49" ht="12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</row>
    <row r="724" spans="1:49" ht="12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</row>
    <row r="725" spans="1:49" ht="12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</row>
    <row r="726" spans="1:49" ht="12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</row>
    <row r="727" spans="1:49" ht="12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</row>
    <row r="728" spans="1:49" ht="12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</row>
    <row r="729" spans="1:49" ht="12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</row>
    <row r="730" spans="1:49" ht="12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</row>
    <row r="731" spans="1:49" ht="12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</row>
    <row r="732" spans="1:49" ht="12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</row>
    <row r="733" spans="1:49" ht="12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</row>
    <row r="734" spans="1:49" ht="12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</row>
    <row r="735" spans="1:49" ht="12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</row>
    <row r="736" spans="1:49" ht="12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</row>
    <row r="737" spans="1:49" ht="12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</row>
    <row r="738" spans="1:49" ht="12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</row>
    <row r="739" spans="1:49" ht="12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</row>
    <row r="740" spans="1:49" ht="12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</row>
    <row r="741" spans="1:49" ht="12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</row>
    <row r="742" spans="1:49" ht="12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</row>
    <row r="743" spans="1:49" ht="12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</row>
    <row r="744" spans="1:49" ht="12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</row>
  </sheetData>
  <sheetProtection password="CDBE" sheet="1" objects="1" scenarios="1"/>
  <mergeCells count="2">
    <mergeCell ref="E25:K26"/>
    <mergeCell ref="M25:R26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300" verticalDpi="300" orientation="landscape" scale="95" r:id="rId4"/>
  <rowBreaks count="1" manualBreakCount="1">
    <brk id="50" max="255" man="1"/>
  </rowBreaks>
  <colBreaks count="1" manualBreakCount="1">
    <brk id="1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8.7109375" style="110" customWidth="1"/>
    <col min="2" max="18" width="6.8515625" style="110" customWidth="1"/>
    <col min="19" max="19" width="3.140625" style="110" customWidth="1"/>
    <col min="20" max="16384" width="7.140625" style="110" customWidth="1"/>
  </cols>
  <sheetData>
    <row r="1" spans="1:18" ht="18">
      <c r="A1" s="122" t="s">
        <v>46</v>
      </c>
      <c r="B1" s="1"/>
      <c r="C1" s="123"/>
      <c r="D1" s="1"/>
      <c r="E1" s="1"/>
      <c r="F1" s="1"/>
      <c r="G1" s="1"/>
      <c r="H1" s="1"/>
      <c r="I1" s="47">
        <f>SUM(B5)</f>
        <v>75</v>
      </c>
      <c r="J1" s="47">
        <f>SUM(K5)</f>
        <v>-20</v>
      </c>
      <c r="K1" s="116" t="s">
        <v>41</v>
      </c>
      <c r="L1" s="45">
        <f>(I1-I2)/LN((I1-I3)/(I2-I3))</f>
        <v>49.83288654563971</v>
      </c>
      <c r="M1" s="44" t="s">
        <v>32</v>
      </c>
      <c r="N1" s="47">
        <f>SUM(B5)</f>
        <v>75</v>
      </c>
      <c r="O1" s="47">
        <f>SUM(K5)</f>
        <v>-20</v>
      </c>
      <c r="P1" s="116"/>
      <c r="Q1" s="44"/>
      <c r="R1" s="44"/>
    </row>
    <row r="2" spans="1:18" ht="12.75">
      <c r="A2" s="1"/>
      <c r="B2" s="1"/>
      <c r="C2" s="1"/>
      <c r="D2" s="1"/>
      <c r="E2" s="1"/>
      <c r="F2" s="1"/>
      <c r="G2" s="1"/>
      <c r="H2" s="1"/>
      <c r="I2" s="47">
        <f>SUM(E5)</f>
        <v>65</v>
      </c>
      <c r="J2" s="47">
        <f>SUM(N5)</f>
        <v>10</v>
      </c>
      <c r="K2" s="116" t="s">
        <v>40</v>
      </c>
      <c r="L2" s="45">
        <f>(I1-I2)/LN((I1-J1)/(I2-J1))</f>
        <v>89.9073310760601</v>
      </c>
      <c r="M2" s="44" t="s">
        <v>32</v>
      </c>
      <c r="N2" s="47">
        <f>SUM(E5)</f>
        <v>65</v>
      </c>
      <c r="O2" s="47">
        <f>SUM(N5)</f>
        <v>10</v>
      </c>
      <c r="P2" s="116"/>
      <c r="Q2" s="44"/>
      <c r="R2" s="44"/>
    </row>
    <row r="3" spans="1:18" ht="12.75">
      <c r="A3" s="1"/>
      <c r="B3" s="1"/>
      <c r="C3" s="130">
        <f>IF(B5&lt;E5,"X = nieprawidłowa teperatura powrotu ","")</f>
      </c>
      <c r="D3" s="1"/>
      <c r="E3" s="1"/>
      <c r="F3" s="1"/>
      <c r="G3" s="1"/>
      <c r="H3" s="1"/>
      <c r="I3" s="47">
        <f>SUM(H5)</f>
        <v>20</v>
      </c>
      <c r="J3" s="44">
        <f>SUM(Q5)</f>
        <v>1</v>
      </c>
      <c r="K3" s="116" t="s">
        <v>39</v>
      </c>
      <c r="L3" s="48">
        <f>1.186*$J$2^0.926</f>
        <v>10.001950227084308</v>
      </c>
      <c r="M3" s="44" t="s">
        <v>26</v>
      </c>
      <c r="N3" s="47">
        <f>SUM(H5)</f>
        <v>20</v>
      </c>
      <c r="O3" s="44">
        <f>SUM(Q5)</f>
        <v>1</v>
      </c>
      <c r="P3" s="116"/>
      <c r="Q3" s="44"/>
      <c r="R3" s="44"/>
    </row>
    <row r="4" spans="1:18" ht="12.75">
      <c r="A4" s="3"/>
      <c r="B4" s="1"/>
      <c r="C4" s="1"/>
      <c r="D4" s="47">
        <f>SUM(B5)</f>
        <v>75</v>
      </c>
      <c r="E4" s="47">
        <f>SUM(K5)</f>
        <v>-20</v>
      </c>
      <c r="F4" s="116" t="s">
        <v>41</v>
      </c>
      <c r="G4" s="45">
        <f>(D4-I4)/LN((D4-N4)/(I4-N4))</f>
        <v>49.83288654563971</v>
      </c>
      <c r="H4" s="44" t="s">
        <v>32</v>
      </c>
      <c r="I4" s="47">
        <f>SUM(E5)</f>
        <v>65</v>
      </c>
      <c r="J4" s="47">
        <f>SUM(N5)</f>
        <v>10</v>
      </c>
      <c r="K4" s="116" t="s">
        <v>40</v>
      </c>
      <c r="L4" s="45">
        <f>(D4-I4)/LN((D4-E4)/(I4-E4))</f>
        <v>89.9073310760601</v>
      </c>
      <c r="M4" s="44" t="s">
        <v>32</v>
      </c>
      <c r="N4" s="47">
        <f>SUM(H5)</f>
        <v>20</v>
      </c>
      <c r="O4" s="44">
        <f>SUM(Q5)</f>
        <v>1</v>
      </c>
      <c r="P4" s="116" t="s">
        <v>39</v>
      </c>
      <c r="Q4" s="48">
        <f>1.186*$J$4^0.926</f>
        <v>10.001950227084308</v>
      </c>
      <c r="R4" s="44" t="s">
        <v>26</v>
      </c>
    </row>
    <row r="5" spans="1:20" ht="26.25" customHeight="1">
      <c r="A5" s="5" t="s">
        <v>67</v>
      </c>
      <c r="B5" s="58">
        <v>75</v>
      </c>
      <c r="C5" s="6" t="s">
        <v>28</v>
      </c>
      <c r="D5" s="5" t="s">
        <v>48</v>
      </c>
      <c r="E5" s="58">
        <v>65</v>
      </c>
      <c r="F5" s="6" t="s">
        <v>28</v>
      </c>
      <c r="G5" s="5" t="s">
        <v>49</v>
      </c>
      <c r="H5" s="58">
        <v>20</v>
      </c>
      <c r="I5" s="6" t="s">
        <v>28</v>
      </c>
      <c r="J5" s="5" t="s">
        <v>50</v>
      </c>
      <c r="K5" s="58">
        <v>-20</v>
      </c>
      <c r="L5" s="7" t="s">
        <v>28</v>
      </c>
      <c r="M5" s="5" t="s">
        <v>33</v>
      </c>
      <c r="N5" s="58">
        <v>10</v>
      </c>
      <c r="O5" s="6" t="s">
        <v>55</v>
      </c>
      <c r="P5" s="5" t="s">
        <v>7</v>
      </c>
      <c r="Q5" s="133">
        <v>1</v>
      </c>
      <c r="R5" s="6" t="s">
        <v>59</v>
      </c>
      <c r="S5" s="2"/>
      <c r="T5" s="2"/>
    </row>
    <row r="6" spans="1:20" ht="15" customHeight="1">
      <c r="A6" s="5"/>
      <c r="B6" s="74"/>
      <c r="C6" s="6"/>
      <c r="D6" s="5"/>
      <c r="E6" s="74"/>
      <c r="F6" s="6"/>
      <c r="G6" s="5"/>
      <c r="H6" s="74"/>
      <c r="I6" s="6"/>
      <c r="J6" s="5"/>
      <c r="K6" s="74"/>
      <c r="L6" s="7"/>
      <c r="M6" s="131" t="s">
        <v>51</v>
      </c>
      <c r="N6" s="136">
        <v>10</v>
      </c>
      <c r="O6" s="73" t="s">
        <v>47</v>
      </c>
      <c r="P6" s="1"/>
      <c r="Q6" s="1"/>
      <c r="R6" s="1"/>
      <c r="S6" s="63"/>
      <c r="T6" s="63"/>
    </row>
    <row r="7" spans="2:20" ht="12.75">
      <c r="B7" s="1"/>
      <c r="C7" s="1"/>
      <c r="D7" s="1"/>
      <c r="E7" s="1"/>
      <c r="F7" s="1"/>
      <c r="G7" s="1"/>
      <c r="H7" s="1"/>
      <c r="I7" s="150"/>
      <c r="J7" s="149" t="s">
        <v>53</v>
      </c>
      <c r="K7" s="119">
        <f>(N1-N2)/LN((N1-N3)/(N2-N3))</f>
        <v>49.83288654563971</v>
      </c>
      <c r="L7" s="129" t="s">
        <v>32</v>
      </c>
      <c r="M7" s="148" t="s">
        <v>54</v>
      </c>
      <c r="N7" s="119">
        <f>(N1-N2)/LN((N1-O1)/(N2-O1))</f>
        <v>89.9073310760601</v>
      </c>
      <c r="O7" s="129" t="s">
        <v>32</v>
      </c>
      <c r="P7" s="70" t="s">
        <v>31</v>
      </c>
      <c r="Q7" s="120">
        <f>IF(Q5&lt;1,0,(0.64889*$O$2^1.18565))</f>
        <v>9.94995419198806</v>
      </c>
      <c r="R7" s="121" t="s">
        <v>26</v>
      </c>
      <c r="S7" s="63"/>
      <c r="T7" s="63"/>
    </row>
    <row r="8" spans="1:20" ht="12.75">
      <c r="A8" s="3" t="s">
        <v>52</v>
      </c>
      <c r="B8" s="1"/>
      <c r="C8" s="1"/>
      <c r="D8" s="1"/>
      <c r="E8" s="1"/>
      <c r="G8" s="1"/>
      <c r="H8" s="1"/>
      <c r="I8" s="1"/>
      <c r="J8" s="1"/>
      <c r="K8" s="1"/>
      <c r="M8" s="1"/>
      <c r="N8" s="130">
        <f>IF($Q$7&gt;15,"Uwaga! Zbyt duża różnica ciśnienia.","")</f>
      </c>
      <c r="O8" s="1"/>
      <c r="P8" s="2"/>
      <c r="Q8" s="2"/>
      <c r="R8" s="2"/>
      <c r="S8" s="2"/>
      <c r="T8" s="63"/>
    </row>
    <row r="9" spans="1:20" ht="12.75">
      <c r="A9" s="137"/>
      <c r="B9" s="138"/>
      <c r="C9" s="139"/>
      <c r="D9" s="139"/>
      <c r="E9" s="158" t="s">
        <v>60</v>
      </c>
      <c r="F9" s="157"/>
      <c r="G9" s="139"/>
      <c r="H9" s="139"/>
      <c r="I9" s="139"/>
      <c r="J9" s="158" t="s">
        <v>61</v>
      </c>
      <c r="K9" s="157"/>
      <c r="L9" s="139"/>
      <c r="M9" s="139"/>
      <c r="N9" s="139"/>
      <c r="O9" s="158" t="s">
        <v>66</v>
      </c>
      <c r="P9" s="2"/>
      <c r="Q9" s="2"/>
      <c r="R9" s="2"/>
      <c r="S9" s="2"/>
      <c r="T9" s="2"/>
    </row>
    <row r="10" spans="1:20" ht="12.75">
      <c r="A10" s="134" t="s">
        <v>45</v>
      </c>
      <c r="B10" s="66">
        <v>300</v>
      </c>
      <c r="C10" s="67"/>
      <c r="D10" s="67">
        <v>500</v>
      </c>
      <c r="E10" s="68">
        <v>600</v>
      </c>
      <c r="F10" s="134" t="s">
        <v>44</v>
      </c>
      <c r="G10" s="66">
        <v>300</v>
      </c>
      <c r="H10" s="67"/>
      <c r="I10" s="67">
        <v>500</v>
      </c>
      <c r="J10" s="68">
        <v>600</v>
      </c>
      <c r="K10" s="134" t="s">
        <v>43</v>
      </c>
      <c r="L10" s="66">
        <v>300</v>
      </c>
      <c r="M10" s="67"/>
      <c r="N10" s="67">
        <v>500</v>
      </c>
      <c r="O10" s="68">
        <v>600</v>
      </c>
      <c r="P10" s="2"/>
      <c r="Q10" s="2"/>
      <c r="R10" s="2"/>
      <c r="S10" s="2"/>
      <c r="T10" s="2"/>
    </row>
    <row r="11" spans="1:20" ht="12.75">
      <c r="A11" s="50">
        <f>IF($Q$5&gt;1,"brak",700)</f>
        <v>700</v>
      </c>
      <c r="B11" s="34">
        <f aca="true" t="shared" si="0" ref="B11:E22">IF($E$5&gt;$B$5,"X",IF($B$5&lt;$E$5,"X",IF($A11="brak","",($B$31*(B$10/1000)^$D$31*$G$4^($B$32+$D$32*(B$10/1000))*(($A11/1000)-$O$4*0.8)+$O$4*($B$34*(B$10/1000)^$D$34*$G$4^$B$35)+$O$4*($B$36*($J$4*(1-$N$6/100))^$D$37*$L$4^$B$37*(B$10/1000)^$D$36))+$O$4*($B$38*(B$10/1000)^$D$38*$G$4^$B$39))))</f>
        <v>507.8359604906685</v>
      </c>
      <c r="C11" s="35"/>
      <c r="D11" s="35">
        <f t="shared" si="0"/>
        <v>753.8726156569074</v>
      </c>
      <c r="E11" s="36">
        <f t="shared" si="0"/>
        <v>871.3030281106126</v>
      </c>
      <c r="F11" s="77">
        <f>IF($Q$5&gt;1,"",700)</f>
        <v>700</v>
      </c>
      <c r="G11" s="34">
        <f aca="true" t="shared" si="1" ref="G11:J22">IF($E$5&gt;$B$5,"X",IF($B$5&lt;$E$5,"X",IF($A11="brak","",($G$31*(G$10/1000)^$I$31*$L$1^($G$32+$I$32*(G$10/1000))*(($F11/1000)-$J$3*0.8)+$J$3*($G$34*(G$10/1000)^$I$34*$L$1^$G$35)+$J$3*($G$36*($J$2*(1-$N$6/100))^$I$37*$L$2^$G$37*(G$10/1000)^$I$36))+$J$3*($G$38*(G$10/1000)^$I$38*$L$1^$G$39))))</f>
        <v>800.0222330024565</v>
      </c>
      <c r="H11" s="35"/>
      <c r="I11" s="35">
        <f t="shared" si="1"/>
        <v>1167.696059186243</v>
      </c>
      <c r="J11" s="36">
        <f t="shared" si="1"/>
        <v>1341.8336684961535</v>
      </c>
      <c r="K11" s="77">
        <f>IF($Q$5&gt;1,"",700)</f>
        <v>700</v>
      </c>
      <c r="L11" s="34">
        <f aca="true" t="shared" si="2" ref="L11:O22">IF($E$5&gt;$B$5,"X",IF($B$5&lt;$E$5,"X",IF($A11="brak","",($L$31*(L$10/1000)^$N$31*$K$7^($L$32+$N$32*(L$10/1000))*(($K11/1000)-$O$3*0.8)+$O$3*($L$34*(L$10/1000)^$N$34*$K$7^$L$35)+$O$3*($L$36*($O$2*(1-$N$6/100))^$N$37*$N$7^$L$37*(L$10/1000)^$N$36))+$O$3*($L$38*(L$10/1000)^$N$38*$K$7^$L$39))))</f>
        <v>1063.3725898406533</v>
      </c>
      <c r="M11" s="35"/>
      <c r="N11" s="35">
        <f t="shared" si="2"/>
        <v>1594.721732490607</v>
      </c>
      <c r="O11" s="36">
        <f t="shared" si="2"/>
        <v>1849.4234652948865</v>
      </c>
      <c r="P11" s="2"/>
      <c r="Q11" s="2"/>
      <c r="R11" s="2"/>
      <c r="S11" s="2"/>
      <c r="T11" s="2"/>
    </row>
    <row r="12" spans="1:20" ht="12.75">
      <c r="A12" s="50">
        <f>IF($Q$5&gt;1,"brak",800)</f>
        <v>800</v>
      </c>
      <c r="B12" s="75">
        <f t="shared" si="0"/>
        <v>559.3381034169254</v>
      </c>
      <c r="C12" s="25"/>
      <c r="D12" s="25">
        <f t="shared" si="0"/>
        <v>835.673857145368</v>
      </c>
      <c r="E12" s="76">
        <f t="shared" si="0"/>
        <v>967.3969014072978</v>
      </c>
      <c r="F12" s="77">
        <f>IF($Q$5&gt;1,"",800)</f>
        <v>800</v>
      </c>
      <c r="G12" s="75">
        <f t="shared" si="1"/>
        <v>891.3504446059748</v>
      </c>
      <c r="H12" s="25"/>
      <c r="I12" s="25">
        <f t="shared" si="1"/>
        <v>1306.7821076844164</v>
      </c>
      <c r="J12" s="76">
        <f t="shared" si="1"/>
        <v>1504.072198677645</v>
      </c>
      <c r="K12" s="77">
        <f>IF($Q$5&gt;1,"",800)</f>
        <v>800</v>
      </c>
      <c r="L12" s="75">
        <f t="shared" si="2"/>
        <v>1195.5849950285972</v>
      </c>
      <c r="M12" s="25"/>
      <c r="N12" s="25">
        <f t="shared" si="2"/>
        <v>1795.2480135424205</v>
      </c>
      <c r="O12" s="76">
        <f t="shared" si="2"/>
        <v>2081.4759247841316</v>
      </c>
      <c r="P12" s="2"/>
      <c r="Q12" s="2"/>
      <c r="R12" s="2"/>
      <c r="S12" s="2"/>
      <c r="T12" s="2"/>
    </row>
    <row r="13" spans="1:20" ht="12.75">
      <c r="A13" s="50">
        <f>IF($Q$5&gt;1,"brak",900)</f>
        <v>900</v>
      </c>
      <c r="B13" s="75">
        <f t="shared" si="0"/>
        <v>610.8402463431822</v>
      </c>
      <c r="C13" s="25"/>
      <c r="D13" s="25">
        <f t="shared" si="0"/>
        <v>917.4750986338286</v>
      </c>
      <c r="E13" s="76">
        <f t="shared" si="0"/>
        <v>1063.490774703983</v>
      </c>
      <c r="F13" s="77">
        <f>IF($Q$5&gt;1,"",900)</f>
        <v>900</v>
      </c>
      <c r="G13" s="75">
        <f t="shared" si="1"/>
        <v>982.6786562094928</v>
      </c>
      <c r="H13" s="25"/>
      <c r="I13" s="25">
        <f t="shared" si="1"/>
        <v>1445.8681561825897</v>
      </c>
      <c r="J13" s="76">
        <f t="shared" si="1"/>
        <v>1666.3107288591361</v>
      </c>
      <c r="K13" s="77">
        <f>IF($Q$5&gt;1,"",900)</f>
        <v>900</v>
      </c>
      <c r="L13" s="75">
        <f t="shared" si="2"/>
        <v>1327.797400216541</v>
      </c>
      <c r="M13" s="25"/>
      <c r="N13" s="25">
        <f t="shared" si="2"/>
        <v>1995.7742945942334</v>
      </c>
      <c r="O13" s="76">
        <f t="shared" si="2"/>
        <v>2313.5283842733766</v>
      </c>
      <c r="P13" s="2"/>
      <c r="Q13" s="2"/>
      <c r="R13" s="2"/>
      <c r="S13" s="2"/>
      <c r="T13" s="2"/>
    </row>
    <row r="14" spans="1:20" ht="12.75">
      <c r="A14" s="52">
        <f>IF($Q$5&gt;1,"brak",1000)</f>
        <v>1000</v>
      </c>
      <c r="B14" s="78">
        <f t="shared" si="0"/>
        <v>662.3423892694391</v>
      </c>
      <c r="C14" s="79"/>
      <c r="D14" s="79">
        <f t="shared" si="0"/>
        <v>999.276340122289</v>
      </c>
      <c r="E14" s="80">
        <f t="shared" si="0"/>
        <v>1159.5846480006683</v>
      </c>
      <c r="F14" s="81">
        <f>IF($Q$5&gt;1,"",1000)</f>
        <v>1000</v>
      </c>
      <c r="G14" s="78">
        <f t="shared" si="1"/>
        <v>1074.006867813011</v>
      </c>
      <c r="H14" s="79"/>
      <c r="I14" s="79">
        <f t="shared" si="1"/>
        <v>1584.954204680763</v>
      </c>
      <c r="J14" s="80">
        <f t="shared" si="1"/>
        <v>1828.5492590406277</v>
      </c>
      <c r="K14" s="81">
        <f>IF($Q$5&gt;1,"",1000)</f>
        <v>1000</v>
      </c>
      <c r="L14" s="78">
        <f t="shared" si="2"/>
        <v>1460.009805404485</v>
      </c>
      <c r="M14" s="79"/>
      <c r="N14" s="79">
        <f t="shared" si="2"/>
        <v>2196.300575646046</v>
      </c>
      <c r="O14" s="80">
        <f t="shared" si="2"/>
        <v>2545.5808437626215</v>
      </c>
      <c r="P14" s="2"/>
      <c r="Q14" s="2"/>
      <c r="R14" s="2"/>
      <c r="S14" s="2"/>
      <c r="T14" s="2"/>
    </row>
    <row r="15" spans="1:20" ht="12.75">
      <c r="A15" s="50">
        <f>IF($Q$5&gt;2,"brak",1200)</f>
        <v>1200</v>
      </c>
      <c r="B15" s="75">
        <f t="shared" si="0"/>
        <v>765.3466751219527</v>
      </c>
      <c r="C15" s="25"/>
      <c r="D15" s="25">
        <f t="shared" si="0"/>
        <v>1162.87882309921</v>
      </c>
      <c r="E15" s="76">
        <f t="shared" si="0"/>
        <v>1351.7723945940386</v>
      </c>
      <c r="F15" s="77">
        <f>IF($Q$5&gt;2,"",1200)</f>
        <v>1200</v>
      </c>
      <c r="G15" s="75">
        <f t="shared" si="1"/>
        <v>1256.6632910200474</v>
      </c>
      <c r="H15" s="25"/>
      <c r="I15" s="25">
        <f t="shared" si="1"/>
        <v>1863.1263016771093</v>
      </c>
      <c r="J15" s="76">
        <f t="shared" si="1"/>
        <v>2153.02631940361</v>
      </c>
      <c r="K15" s="77">
        <f>IF($Q$5&gt;2,"",1200)</f>
        <v>1200</v>
      </c>
      <c r="L15" s="75">
        <f t="shared" si="2"/>
        <v>1724.4346157803727</v>
      </c>
      <c r="M15" s="25"/>
      <c r="N15" s="25">
        <f t="shared" si="2"/>
        <v>2597.3531377496715</v>
      </c>
      <c r="O15" s="76">
        <f t="shared" si="2"/>
        <v>3009.685762741112</v>
      </c>
      <c r="P15" s="2"/>
      <c r="Q15" s="2"/>
      <c r="R15" s="2"/>
      <c r="S15" s="2"/>
      <c r="T15" s="2"/>
    </row>
    <row r="16" spans="1:20" ht="12.75">
      <c r="A16" s="50">
        <f>IF($Q$5&gt;2,"brak",1400)</f>
        <v>1400</v>
      </c>
      <c r="B16" s="75">
        <f t="shared" si="0"/>
        <v>868.3509609744664</v>
      </c>
      <c r="C16" s="25"/>
      <c r="D16" s="25">
        <f t="shared" si="0"/>
        <v>1326.481306076131</v>
      </c>
      <c r="E16" s="76">
        <f t="shared" si="0"/>
        <v>1543.960141187409</v>
      </c>
      <c r="F16" s="77">
        <f>IF($Q$5&gt;2,"",1400)</f>
        <v>1400</v>
      </c>
      <c r="G16" s="75">
        <f t="shared" si="1"/>
        <v>1439.3197142270835</v>
      </c>
      <c r="H16" s="25"/>
      <c r="I16" s="25">
        <f t="shared" si="1"/>
        <v>2141.2983986734553</v>
      </c>
      <c r="J16" s="76">
        <f t="shared" si="1"/>
        <v>2477.503379766593</v>
      </c>
      <c r="K16" s="77">
        <f>IF($Q$5&gt;2,"",1400)</f>
        <v>1400</v>
      </c>
      <c r="L16" s="75">
        <f t="shared" si="2"/>
        <v>1988.8594261562603</v>
      </c>
      <c r="M16" s="25"/>
      <c r="N16" s="25">
        <f t="shared" si="2"/>
        <v>2998.405699853298</v>
      </c>
      <c r="O16" s="76">
        <f t="shared" si="2"/>
        <v>3473.7906817196017</v>
      </c>
      <c r="P16" s="2"/>
      <c r="Q16" s="2"/>
      <c r="R16" s="2"/>
      <c r="S16" s="2"/>
      <c r="T16" s="2"/>
    </row>
    <row r="17" spans="1:20" ht="12.75">
      <c r="A17" s="50">
        <f>IF($Q$5&gt;2,"brak",1600)</f>
        <v>1600</v>
      </c>
      <c r="B17" s="75">
        <f t="shared" si="0"/>
        <v>971.3552468269802</v>
      </c>
      <c r="C17" s="25"/>
      <c r="D17" s="25">
        <f t="shared" si="0"/>
        <v>1490.083789053052</v>
      </c>
      <c r="E17" s="76">
        <f t="shared" si="0"/>
        <v>1736.1478877807795</v>
      </c>
      <c r="F17" s="77">
        <f>IF($Q$5&gt;2,"",1600)</f>
        <v>1600</v>
      </c>
      <c r="G17" s="75">
        <f t="shared" si="1"/>
        <v>1621.9761374341201</v>
      </c>
      <c r="H17" s="25"/>
      <c r="I17" s="25">
        <f t="shared" si="1"/>
        <v>2419.4704956698024</v>
      </c>
      <c r="J17" s="76">
        <f t="shared" si="1"/>
        <v>2801.980440129576</v>
      </c>
      <c r="K17" s="77">
        <f>IF($Q$5&gt;2,"",1600)</f>
        <v>1600</v>
      </c>
      <c r="L17" s="75">
        <f t="shared" si="2"/>
        <v>2253.2842365321485</v>
      </c>
      <c r="M17" s="25"/>
      <c r="N17" s="25">
        <f t="shared" si="2"/>
        <v>3399.4582619569237</v>
      </c>
      <c r="O17" s="76">
        <f t="shared" si="2"/>
        <v>3937.8956006980916</v>
      </c>
      <c r="P17" s="2"/>
      <c r="Q17" s="2"/>
      <c r="R17" s="2"/>
      <c r="S17" s="2"/>
      <c r="T17" s="2"/>
    </row>
    <row r="18" spans="1:20" ht="12.75">
      <c r="A18" s="50">
        <f>IF($Q$5&gt;3,"brak",1800)</f>
        <v>1800</v>
      </c>
      <c r="B18" s="75">
        <f t="shared" si="0"/>
        <v>1074.359532679494</v>
      </c>
      <c r="C18" s="25"/>
      <c r="D18" s="25">
        <f t="shared" si="0"/>
        <v>1653.6862720299732</v>
      </c>
      <c r="E18" s="76">
        <f t="shared" si="0"/>
        <v>1928.3356343741498</v>
      </c>
      <c r="F18" s="77">
        <f>IF($Q$5&gt;3,"",1800)</f>
        <v>1800</v>
      </c>
      <c r="G18" s="75">
        <f t="shared" si="1"/>
        <v>1804.6325606411563</v>
      </c>
      <c r="H18" s="25"/>
      <c r="I18" s="25">
        <f t="shared" si="1"/>
        <v>2697.6425926661486</v>
      </c>
      <c r="J18" s="76">
        <f t="shared" si="1"/>
        <v>3126.4575004925587</v>
      </c>
      <c r="K18" s="77">
        <f>IF($Q$5&gt;3,"",1800)</f>
        <v>1800</v>
      </c>
      <c r="L18" s="75">
        <f t="shared" si="2"/>
        <v>2517.709046908036</v>
      </c>
      <c r="M18" s="25"/>
      <c r="N18" s="25">
        <f t="shared" si="2"/>
        <v>3800.5108240605496</v>
      </c>
      <c r="O18" s="76">
        <f t="shared" si="2"/>
        <v>4402.000519676581</v>
      </c>
      <c r="P18" s="2"/>
      <c r="Q18" s="2"/>
      <c r="R18" s="2"/>
      <c r="S18" s="2"/>
      <c r="T18" s="2"/>
    </row>
    <row r="19" spans="1:20" ht="12.75">
      <c r="A19" s="52">
        <f>IF($Q$5&gt;3,"brak",2000)</f>
        <v>2000</v>
      </c>
      <c r="B19" s="78">
        <f t="shared" si="0"/>
        <v>1177.3638185320076</v>
      </c>
      <c r="C19" s="79"/>
      <c r="D19" s="79">
        <f t="shared" si="0"/>
        <v>1817.288755006894</v>
      </c>
      <c r="E19" s="80">
        <f t="shared" si="0"/>
        <v>2120.52338096752</v>
      </c>
      <c r="F19" s="81">
        <f>IF($Q$5&gt;3,"",2000)</f>
        <v>2000</v>
      </c>
      <c r="G19" s="78">
        <f t="shared" si="1"/>
        <v>1987.2889838481924</v>
      </c>
      <c r="H19" s="79"/>
      <c r="I19" s="79">
        <f t="shared" si="1"/>
        <v>2975.8146896624958</v>
      </c>
      <c r="J19" s="80">
        <f t="shared" si="1"/>
        <v>3450.9345608555413</v>
      </c>
      <c r="K19" s="81">
        <f>IF($Q$5&gt;3,"",2000)</f>
        <v>2000</v>
      </c>
      <c r="L19" s="78">
        <f t="shared" si="2"/>
        <v>2782.133857283924</v>
      </c>
      <c r="M19" s="79"/>
      <c r="N19" s="79">
        <f t="shared" si="2"/>
        <v>4201.563386164175</v>
      </c>
      <c r="O19" s="80">
        <f t="shared" si="2"/>
        <v>4866.10543865507</v>
      </c>
      <c r="P19" s="2"/>
      <c r="Q19" s="2"/>
      <c r="R19" s="2"/>
      <c r="S19" s="2"/>
      <c r="T19" s="2"/>
    </row>
    <row r="20" spans="1:20" ht="12.75">
      <c r="A20" s="50">
        <f>IF($Q$5&gt;3,"brak",2300)</f>
        <v>2300</v>
      </c>
      <c r="B20" s="75">
        <f t="shared" si="0"/>
        <v>1331.870247310778</v>
      </c>
      <c r="C20" s="25"/>
      <c r="D20" s="25">
        <f t="shared" si="0"/>
        <v>2062.6924794722754</v>
      </c>
      <c r="E20" s="76">
        <f t="shared" si="0"/>
        <v>2408.8050008575756</v>
      </c>
      <c r="F20" s="77">
        <f>IF($Q$5&gt;3,"",2300)</f>
        <v>2300</v>
      </c>
      <c r="G20" s="75">
        <f t="shared" si="1"/>
        <v>2261.2736186587467</v>
      </c>
      <c r="H20" s="25"/>
      <c r="I20" s="25">
        <f t="shared" si="1"/>
        <v>3393.072835157015</v>
      </c>
      <c r="J20" s="76">
        <f t="shared" si="1"/>
        <v>3937.650151400015</v>
      </c>
      <c r="K20" s="77">
        <f>IF($Q$5&gt;3,"",2300)</f>
        <v>2300</v>
      </c>
      <c r="L20" s="75">
        <f t="shared" si="2"/>
        <v>3178.771072847755</v>
      </c>
      <c r="M20" s="25"/>
      <c r="N20" s="25">
        <f t="shared" si="2"/>
        <v>4803.142229319614</v>
      </c>
      <c r="O20" s="76">
        <f t="shared" si="2"/>
        <v>5562.262817122805</v>
      </c>
      <c r="P20" s="2"/>
      <c r="Q20" s="2"/>
      <c r="R20" s="2"/>
      <c r="S20" s="2"/>
      <c r="T20" s="2"/>
    </row>
    <row r="21" spans="1:20" ht="12.75">
      <c r="A21" s="50">
        <f>IF($Q$5&gt;4,"brak",2600)</f>
        <v>2600</v>
      </c>
      <c r="B21" s="75">
        <f t="shared" si="0"/>
        <v>1486.3766760895487</v>
      </c>
      <c r="C21" s="25"/>
      <c r="D21" s="25">
        <f t="shared" si="0"/>
        <v>2308.0962039376573</v>
      </c>
      <c r="E21" s="76">
        <f t="shared" si="0"/>
        <v>2697.0866207476315</v>
      </c>
      <c r="F21" s="77">
        <f>IF($Q$5&gt;4,"",2600)</f>
        <v>2600</v>
      </c>
      <c r="G21" s="75">
        <f t="shared" si="1"/>
        <v>2535.2582534693015</v>
      </c>
      <c r="H21" s="25"/>
      <c r="I21" s="25">
        <f t="shared" si="1"/>
        <v>3810.3309806515354</v>
      </c>
      <c r="J21" s="76">
        <f t="shared" si="1"/>
        <v>4424.365741944491</v>
      </c>
      <c r="K21" s="77">
        <f>IF($Q$5&gt;4,"",2600)</f>
        <v>2600</v>
      </c>
      <c r="L21" s="75">
        <f t="shared" si="2"/>
        <v>3575.408288411587</v>
      </c>
      <c r="M21" s="25"/>
      <c r="N21" s="25">
        <f t="shared" si="2"/>
        <v>5404.721072475053</v>
      </c>
      <c r="O21" s="76">
        <f t="shared" si="2"/>
        <v>6258.420195590542</v>
      </c>
      <c r="P21" s="2"/>
      <c r="Q21" s="2"/>
      <c r="R21" s="2"/>
      <c r="S21" s="2"/>
      <c r="T21" s="2"/>
    </row>
    <row r="22" spans="1:20" ht="12.75">
      <c r="A22" s="51">
        <f>IF($Q$5&gt;4,"brak",3000)</f>
        <v>3000</v>
      </c>
      <c r="B22" s="82">
        <f t="shared" si="0"/>
        <v>1692.3852477945761</v>
      </c>
      <c r="C22" s="27"/>
      <c r="D22" s="27">
        <f t="shared" si="0"/>
        <v>2635.3011698914993</v>
      </c>
      <c r="E22" s="28">
        <f t="shared" si="0"/>
        <v>3081.4621139343726</v>
      </c>
      <c r="F22" s="83">
        <f>IF($Q$5&gt;4,"",3000)</f>
        <v>3000</v>
      </c>
      <c r="G22" s="82">
        <f t="shared" si="1"/>
        <v>2900.5710998833742</v>
      </c>
      <c r="H22" s="27"/>
      <c r="I22" s="27">
        <f t="shared" si="1"/>
        <v>4366.675174644228</v>
      </c>
      <c r="J22" s="28">
        <f t="shared" si="1"/>
        <v>5073.319862670455</v>
      </c>
      <c r="K22" s="83">
        <f>IF($Q$5&gt;4,"",3000)</f>
        <v>3000</v>
      </c>
      <c r="L22" s="82">
        <f t="shared" si="2"/>
        <v>4104.257909163363</v>
      </c>
      <c r="M22" s="27"/>
      <c r="N22" s="27">
        <f t="shared" si="2"/>
        <v>6206.826196682305</v>
      </c>
      <c r="O22" s="28">
        <f t="shared" si="2"/>
        <v>7186.630033547522</v>
      </c>
      <c r="P22" s="2"/>
      <c r="Q22" s="2"/>
      <c r="R22" s="2"/>
      <c r="S22" s="2"/>
      <c r="T22" s="2"/>
    </row>
    <row r="23" spans="1:20" ht="12.75" customHeight="1">
      <c r="A23" s="3"/>
      <c r="B23" s="2"/>
      <c r="C23" s="8"/>
      <c r="D23" s="144"/>
      <c r="E23" s="145"/>
      <c r="F23" s="146"/>
      <c r="G23" s="146"/>
      <c r="H23" s="146"/>
      <c r="I23" s="152"/>
      <c r="J23" s="152"/>
      <c r="K23" s="152"/>
      <c r="L23" s="152"/>
      <c r="M23" s="152"/>
      <c r="N23" s="8"/>
      <c r="O23" s="2"/>
      <c r="P23" s="15"/>
      <c r="Q23" s="15"/>
      <c r="R23" s="15"/>
      <c r="S23" s="2"/>
      <c r="T23" s="2"/>
    </row>
    <row r="24" spans="1:20" ht="14.25" customHeight="1">
      <c r="A24" s="3" t="s">
        <v>58</v>
      </c>
      <c r="B24" s="2"/>
      <c r="C24" s="147"/>
      <c r="D24" s="2"/>
      <c r="E24" s="147"/>
      <c r="F24" s="147"/>
      <c r="G24" s="144" t="str">
        <f>IF($N$5&lt;1,"",IF(MIN(E27,F27,G27,H27,I27,K27,L27,M27,N27,O27,Q27,R27,S27,T27,U27)&lt;($H$5-8),"X-Uwaga! Bardzo niska temperatura",""))</f>
        <v>X-Uwaga! Bardzo niska temperatura</v>
      </c>
      <c r="H24" s="147"/>
      <c r="I24" s="153"/>
      <c r="J24" s="153"/>
      <c r="K24" s="153"/>
      <c r="L24" s="153"/>
      <c r="M24" s="153" t="str">
        <f>IF($N$5&lt;1,"",IF(MIN(F27,G27,H27,I27,J27,L27,M27,N27,O27,P27,R27,S27,T27,U27,V27)&lt;($H$5-2),"X-Uwaga! Niska temperatura ",""))</f>
        <v>X-Uwaga! Niska temperatura </v>
      </c>
      <c r="N24" s="8"/>
      <c r="O24" s="2"/>
      <c r="P24" s="1"/>
      <c r="Q24" s="1"/>
      <c r="R24" s="1"/>
      <c r="S24" s="2"/>
      <c r="T24" s="2"/>
    </row>
    <row r="25" spans="1:20" ht="12.75">
      <c r="A25" s="135"/>
      <c r="B25" s="84">
        <v>300</v>
      </c>
      <c r="C25" s="10"/>
      <c r="D25" s="10">
        <v>500</v>
      </c>
      <c r="E25" s="11">
        <v>600</v>
      </c>
      <c r="F25" s="135"/>
      <c r="G25" s="84">
        <v>300</v>
      </c>
      <c r="H25" s="10"/>
      <c r="I25" s="10">
        <v>500</v>
      </c>
      <c r="J25" s="11">
        <v>600</v>
      </c>
      <c r="K25" s="135"/>
      <c r="L25" s="84">
        <v>300</v>
      </c>
      <c r="M25" s="155"/>
      <c r="N25" s="10">
        <v>500</v>
      </c>
      <c r="O25" s="11">
        <v>600</v>
      </c>
      <c r="P25" s="2"/>
      <c r="Q25" s="2"/>
      <c r="R25" s="2"/>
      <c r="S25" s="2"/>
      <c r="T25" s="2"/>
    </row>
    <row r="26" spans="1:20" ht="12.75">
      <c r="A26" s="26" t="s">
        <v>62</v>
      </c>
      <c r="B26" s="82">
        <f>(B$43*(B$45+273)+B$44*(B$46+273))/(B$43+B$44)-273</f>
        <v>11.29737036699919</v>
      </c>
      <c r="C26" s="27"/>
      <c r="D26" s="27">
        <f>(E$43*(E$45+273)+E$44*(E$46+273))/(E$43+E$44)-273</f>
        <v>21.59047462037313</v>
      </c>
      <c r="E26" s="28">
        <f>(F$43*(F$45+273)+F$44*(F$46+273))/(F$43+F$44)-273</f>
        <v>25.544406171241803</v>
      </c>
      <c r="F26" s="26" t="s">
        <v>62</v>
      </c>
      <c r="G26" s="82">
        <f>(H$43*(H$45+273)+H$44*(H$46+273))/(H$43+H$44)-273</f>
        <v>25.88481954428761</v>
      </c>
      <c r="H26" s="27"/>
      <c r="I26" s="27">
        <f>(K$43*(K$45+273)+K$44*(K$46+273))/(K$43+K$44)-273</f>
        <v>39.97564338052962</v>
      </c>
      <c r="J26" s="28">
        <f>(L$43*(L$45+273)+L$44*(L$46+273))/(L$43+L$44)-273</f>
        <v>45.38702962336123</v>
      </c>
      <c r="K26" s="26" t="s">
        <v>62</v>
      </c>
      <c r="L26" s="82">
        <f>(N$43*(N$45+273)+N$44*(N$46+273))/(N$43+N$44)-273</f>
        <v>26.65221053163475</v>
      </c>
      <c r="M26" s="27"/>
      <c r="N26" s="27">
        <f>(Q$43*(Q$45+273)+Q$44*(Q$46+273))/(Q$43+Q$44)-273</f>
        <v>40.493650285982426</v>
      </c>
      <c r="O26" s="28">
        <f>(R$43*(R$45+273)+R$44*(R$46+273))/(R$43+R$44)-273</f>
        <v>45.67689167163587</v>
      </c>
      <c r="P26" s="2"/>
      <c r="Q26" s="25"/>
      <c r="R26" s="25"/>
      <c r="S26" s="25"/>
      <c r="T26" s="25"/>
    </row>
    <row r="27" spans="1:20" ht="12.75">
      <c r="A27" s="85"/>
      <c r="B27" s="124" t="str">
        <f>IF(B26&lt;($H$5-8),"X","")</f>
        <v>X</v>
      </c>
      <c r="C27" s="124"/>
      <c r="D27" s="124">
        <f>IF(D26&lt;($H$5-8),"X","")</f>
      </c>
      <c r="E27" s="124">
        <f>IF(E26&lt;($H$5-8),"X","")</f>
      </c>
      <c r="F27" s="126"/>
      <c r="G27" s="124">
        <f>IF(G26&lt;($H$5-8),"X","")</f>
      </c>
      <c r="H27" s="124"/>
      <c r="I27" s="124">
        <f>IF(I26&lt;($H$5-8),"X","")</f>
      </c>
      <c r="J27" s="124">
        <f>IF(J26&lt;($H$5-8),"X","")</f>
      </c>
      <c r="K27" s="126"/>
      <c r="L27" s="124">
        <f>IF(L26&lt;($H$5-8),"X","")</f>
      </c>
      <c r="M27" s="124"/>
      <c r="N27" s="124">
        <f>IF(N26&lt;($H$5-8),"X","")</f>
      </c>
      <c r="O27" s="124">
        <f>IF(O26&lt;($H$5-8),"X","")</f>
      </c>
      <c r="P27" s="2"/>
      <c r="Q27" s="86"/>
      <c r="R27" s="87"/>
      <c r="S27" s="86"/>
      <c r="T27" s="88"/>
    </row>
    <row r="28" spans="1:20" ht="12.75">
      <c r="A28" s="30"/>
      <c r="B28" s="125" t="str">
        <f>IF(B26&lt;($H$5-2),"X","")</f>
        <v>X</v>
      </c>
      <c r="C28" s="125"/>
      <c r="D28" s="125">
        <f>IF(D26&lt;($H$5-2),"X","")</f>
      </c>
      <c r="E28" s="125">
        <f>IF(E26&lt;($H$5-2),"X","")</f>
      </c>
      <c r="F28" s="127"/>
      <c r="G28" s="125">
        <f>IF(G26&lt;($H$5-2),"X","")</f>
      </c>
      <c r="H28" s="125"/>
      <c r="I28" s="125">
        <f>IF(I26&lt;($H$5-2),"X","")</f>
      </c>
      <c r="J28" s="125">
        <f>IF(J26&lt;($H$5-2),"X","")</f>
      </c>
      <c r="K28" s="128"/>
      <c r="L28" s="125">
        <f>IF(L26&lt;($H$5-2),"X","")</f>
      </c>
      <c r="M28" s="125"/>
      <c r="N28" s="125">
        <f>IF(N26&lt;($H$5-2),"X","")</f>
      </c>
      <c r="O28" s="125">
        <f>IF(O26&lt;($H$5-2),"X","")</f>
      </c>
      <c r="P28" s="2"/>
      <c r="Q28" s="63"/>
      <c r="R28" s="63"/>
      <c r="S28" s="63"/>
      <c r="T28" s="63"/>
    </row>
    <row r="29" spans="1:20" ht="12.75">
      <c r="A29" s="2"/>
      <c r="B29" s="2"/>
      <c r="C29" s="8"/>
      <c r="D29" s="2"/>
      <c r="E29" s="8"/>
      <c r="F29" s="8"/>
      <c r="G29" s="8"/>
      <c r="J29" s="2"/>
      <c r="K29" s="62" t="s">
        <v>57</v>
      </c>
      <c r="M29" s="1"/>
      <c r="N29" s="2"/>
      <c r="O29" s="2"/>
      <c r="P29" s="2"/>
      <c r="Q29" s="63"/>
      <c r="R29" s="63"/>
      <c r="S29" s="63"/>
      <c r="T29" s="63"/>
    </row>
    <row r="30" spans="1:20" ht="12.75" customHeight="1" hidden="1">
      <c r="A30" s="89" t="s">
        <v>38</v>
      </c>
      <c r="B30" s="90"/>
      <c r="C30" s="90"/>
      <c r="D30" s="90"/>
      <c r="E30" s="91"/>
      <c r="F30" s="89" t="s">
        <v>37</v>
      </c>
      <c r="G30" s="90"/>
      <c r="H30" s="90"/>
      <c r="I30" s="90"/>
      <c r="J30" s="91"/>
      <c r="K30" s="89" t="s">
        <v>36</v>
      </c>
      <c r="L30" s="90"/>
      <c r="M30" s="90"/>
      <c r="N30" s="90"/>
      <c r="O30" s="91"/>
      <c r="P30" s="2"/>
      <c r="Q30" s="86"/>
      <c r="R30" s="86"/>
      <c r="S30" s="86"/>
      <c r="T30" s="86"/>
    </row>
    <row r="31" spans="1:20" ht="12.75" customHeight="1" hidden="1">
      <c r="A31" s="92" t="s">
        <v>15</v>
      </c>
      <c r="B31" s="93">
        <v>10.1261</v>
      </c>
      <c r="C31" s="94" t="s">
        <v>1</v>
      </c>
      <c r="D31" s="95">
        <v>0.96183</v>
      </c>
      <c r="E31" s="64"/>
      <c r="F31" s="92" t="s">
        <v>15</v>
      </c>
      <c r="G31" s="117">
        <v>14.2517</v>
      </c>
      <c r="H31" s="94" t="s">
        <v>1</v>
      </c>
      <c r="I31" s="118">
        <v>0.77084</v>
      </c>
      <c r="J31" s="64"/>
      <c r="K31" s="92" t="s">
        <v>15</v>
      </c>
      <c r="L31" s="93">
        <v>20.3176</v>
      </c>
      <c r="M31" s="94" t="s">
        <v>1</v>
      </c>
      <c r="N31" s="95">
        <v>0.85167</v>
      </c>
      <c r="O31" s="64"/>
      <c r="P31" s="63"/>
      <c r="Q31" s="63"/>
      <c r="R31" s="63"/>
      <c r="S31" s="86"/>
      <c r="T31" s="63"/>
    </row>
    <row r="32" spans="1:20" ht="12.75" customHeight="1" hidden="1">
      <c r="A32" s="96" t="s">
        <v>2</v>
      </c>
      <c r="B32" s="95">
        <v>1.31249</v>
      </c>
      <c r="C32" s="94" t="s">
        <v>3</v>
      </c>
      <c r="D32" s="95">
        <v>-0.03666</v>
      </c>
      <c r="E32" s="64"/>
      <c r="F32" s="96" t="s">
        <v>2</v>
      </c>
      <c r="G32" s="95">
        <v>1.29147</v>
      </c>
      <c r="H32" s="94" t="s">
        <v>3</v>
      </c>
      <c r="I32" s="95">
        <v>0.03437</v>
      </c>
      <c r="J32" s="97"/>
      <c r="K32" s="96" t="s">
        <v>2</v>
      </c>
      <c r="L32" s="95">
        <v>1.33771</v>
      </c>
      <c r="M32" s="94" t="s">
        <v>3</v>
      </c>
      <c r="N32" s="95">
        <v>-0.02369</v>
      </c>
      <c r="O32" s="64"/>
      <c r="P32" s="63"/>
      <c r="Q32" s="86"/>
      <c r="R32" s="86"/>
      <c r="S32" s="86"/>
      <c r="T32" s="86"/>
    </row>
    <row r="33" spans="1:20" ht="12.75" customHeight="1" hidden="1">
      <c r="A33" s="98" t="s">
        <v>35</v>
      </c>
      <c r="B33" s="99"/>
      <c r="C33" s="99"/>
      <c r="D33" s="99"/>
      <c r="E33" s="100"/>
      <c r="F33" s="98" t="s">
        <v>34</v>
      </c>
      <c r="G33" s="99"/>
      <c r="H33" s="99"/>
      <c r="I33" s="99"/>
      <c r="J33" s="100"/>
      <c r="K33" s="98" t="s">
        <v>42</v>
      </c>
      <c r="L33" s="99"/>
      <c r="M33" s="99"/>
      <c r="N33" s="99"/>
      <c r="O33" s="100"/>
      <c r="P33" s="86"/>
      <c r="Q33" s="63"/>
      <c r="R33" s="63"/>
      <c r="S33" s="63"/>
      <c r="T33" s="63"/>
    </row>
    <row r="34" spans="1:20" ht="12.75" customHeight="1" hidden="1">
      <c r="A34" s="92" t="s">
        <v>14</v>
      </c>
      <c r="B34" s="99">
        <v>4.7672</v>
      </c>
      <c r="C34" s="101" t="s">
        <v>5</v>
      </c>
      <c r="D34" s="99">
        <v>0.91074</v>
      </c>
      <c r="E34" s="64"/>
      <c r="F34" s="92" t="s">
        <v>14</v>
      </c>
      <c r="G34" s="99">
        <v>5.8606</v>
      </c>
      <c r="H34" s="101" t="s">
        <v>5</v>
      </c>
      <c r="I34" s="99">
        <v>0.8135</v>
      </c>
      <c r="J34" s="64"/>
      <c r="K34" s="92" t="s">
        <v>14</v>
      </c>
      <c r="L34" s="99">
        <v>9.663</v>
      </c>
      <c r="M34" s="101" t="s">
        <v>5</v>
      </c>
      <c r="N34" s="99">
        <v>0.87569</v>
      </c>
      <c r="O34" s="64"/>
      <c r="P34" s="63"/>
      <c r="Q34" s="86"/>
      <c r="R34" s="86"/>
      <c r="S34" s="86"/>
      <c r="T34" s="86"/>
    </row>
    <row r="35" spans="1:20" ht="12.75" customHeight="1" hidden="1">
      <c r="A35" s="92" t="s">
        <v>6</v>
      </c>
      <c r="B35" s="99">
        <v>1.25897</v>
      </c>
      <c r="C35" s="99"/>
      <c r="D35" s="99"/>
      <c r="E35" s="100"/>
      <c r="F35" s="92" t="s">
        <v>6</v>
      </c>
      <c r="G35" s="99">
        <v>1.29826</v>
      </c>
      <c r="H35" s="99"/>
      <c r="I35" s="99"/>
      <c r="J35" s="97"/>
      <c r="K35" s="92" t="s">
        <v>6</v>
      </c>
      <c r="L35" s="99">
        <v>1.34415</v>
      </c>
      <c r="M35" s="99"/>
      <c r="N35" s="99"/>
      <c r="O35" s="100"/>
      <c r="P35" s="86"/>
      <c r="Q35" s="63"/>
      <c r="R35" s="63"/>
      <c r="S35" s="63"/>
      <c r="T35" s="63"/>
    </row>
    <row r="36" spans="1:20" ht="12.75" customHeight="1" hidden="1">
      <c r="A36" s="92" t="s">
        <v>8</v>
      </c>
      <c r="B36" s="99">
        <v>4.6905</v>
      </c>
      <c r="C36" s="101" t="s">
        <v>12</v>
      </c>
      <c r="D36" s="99">
        <v>0.50015</v>
      </c>
      <c r="E36" s="64"/>
      <c r="F36" s="92" t="s">
        <v>8</v>
      </c>
      <c r="G36" s="99">
        <v>3.21447</v>
      </c>
      <c r="H36" s="101" t="s">
        <v>12</v>
      </c>
      <c r="I36" s="99">
        <v>0.53828</v>
      </c>
      <c r="J36" s="64"/>
      <c r="K36" s="92" t="s">
        <v>8</v>
      </c>
      <c r="L36" s="99">
        <v>3.21447</v>
      </c>
      <c r="M36" s="101" t="s">
        <v>12</v>
      </c>
      <c r="N36" s="99">
        <v>0.53828</v>
      </c>
      <c r="O36" s="64"/>
      <c r="P36" s="63"/>
      <c r="Q36" s="63"/>
      <c r="R36" s="63"/>
      <c r="S36" s="86"/>
      <c r="T36" s="86"/>
    </row>
    <row r="37" spans="1:20" ht="12.75" customHeight="1" hidden="1">
      <c r="A37" s="92" t="s">
        <v>3</v>
      </c>
      <c r="B37" s="99">
        <v>0.70514</v>
      </c>
      <c r="C37" s="101" t="s">
        <v>9</v>
      </c>
      <c r="D37" s="99">
        <v>0.58338</v>
      </c>
      <c r="E37" s="100"/>
      <c r="F37" s="92" t="s">
        <v>3</v>
      </c>
      <c r="G37" s="99">
        <v>0.97848</v>
      </c>
      <c r="H37" s="101" t="s">
        <v>9</v>
      </c>
      <c r="I37" s="99">
        <v>0.52763</v>
      </c>
      <c r="J37" s="97"/>
      <c r="K37" s="92" t="s">
        <v>3</v>
      </c>
      <c r="L37" s="99">
        <v>0.97848</v>
      </c>
      <c r="M37" s="101" t="s">
        <v>9</v>
      </c>
      <c r="N37" s="99">
        <v>0.52763</v>
      </c>
      <c r="O37" s="100"/>
      <c r="P37" s="86"/>
      <c r="Q37" s="63"/>
      <c r="R37" s="63"/>
      <c r="S37" s="63"/>
      <c r="T37" s="63"/>
    </row>
    <row r="38" spans="1:20" ht="12.75" customHeight="1" hidden="1">
      <c r="A38" s="92" t="s">
        <v>13</v>
      </c>
      <c r="B38" s="99">
        <v>1.97369</v>
      </c>
      <c r="C38" s="101" t="s">
        <v>10</v>
      </c>
      <c r="D38" s="99">
        <v>1.02534</v>
      </c>
      <c r="E38" s="64"/>
      <c r="F38" s="92" t="s">
        <v>13</v>
      </c>
      <c r="G38" s="99">
        <v>1.86272</v>
      </c>
      <c r="H38" s="101" t="s">
        <v>10</v>
      </c>
      <c r="I38" s="99">
        <v>1.295</v>
      </c>
      <c r="J38" s="64"/>
      <c r="K38" s="92" t="s">
        <v>13</v>
      </c>
      <c r="L38" s="99">
        <v>1.99223</v>
      </c>
      <c r="M38" s="101" t="s">
        <v>10</v>
      </c>
      <c r="N38" s="99">
        <v>1.21274</v>
      </c>
      <c r="O38" s="64"/>
      <c r="P38" s="63"/>
      <c r="Q38" s="86"/>
      <c r="R38" s="86"/>
      <c r="S38" s="86"/>
      <c r="T38" s="86"/>
    </row>
    <row r="39" spans="1:20" ht="12.75" customHeight="1" hidden="1">
      <c r="A39" s="103" t="s">
        <v>11</v>
      </c>
      <c r="B39" s="104">
        <v>1.367</v>
      </c>
      <c r="C39" s="104"/>
      <c r="D39" s="104"/>
      <c r="E39" s="105"/>
      <c r="F39" s="103" t="s">
        <v>11</v>
      </c>
      <c r="G39" s="104">
        <v>1.42315</v>
      </c>
      <c r="H39" s="104"/>
      <c r="I39" s="104"/>
      <c r="J39" s="106"/>
      <c r="K39" s="103" t="s">
        <v>11</v>
      </c>
      <c r="L39" s="104">
        <v>1.40911</v>
      </c>
      <c r="M39" s="104"/>
      <c r="N39" s="104"/>
      <c r="O39" s="105"/>
      <c r="P39" s="86"/>
      <c r="Q39" s="63"/>
      <c r="R39" s="63"/>
      <c r="S39" s="63"/>
      <c r="T39" s="63"/>
    </row>
    <row r="40" spans="1:20" ht="12.75" customHeight="1" hidden="1">
      <c r="A40" s="31"/>
      <c r="B40" s="32">
        <v>300</v>
      </c>
      <c r="C40" s="22">
        <v>400</v>
      </c>
      <c r="D40" s="22">
        <v>450</v>
      </c>
      <c r="E40" s="22">
        <v>500</v>
      </c>
      <c r="F40" s="23">
        <v>600</v>
      </c>
      <c r="G40" s="31"/>
      <c r="H40" s="32">
        <v>300</v>
      </c>
      <c r="I40" s="22">
        <v>400</v>
      </c>
      <c r="J40" s="22">
        <v>450</v>
      </c>
      <c r="K40" s="22">
        <v>500</v>
      </c>
      <c r="L40" s="23">
        <v>600</v>
      </c>
      <c r="M40" s="31"/>
      <c r="N40" s="32">
        <v>300</v>
      </c>
      <c r="O40" s="22">
        <v>400</v>
      </c>
      <c r="P40" s="22">
        <v>450</v>
      </c>
      <c r="Q40" s="22">
        <v>500</v>
      </c>
      <c r="R40" s="23">
        <v>600</v>
      </c>
      <c r="S40" s="2"/>
      <c r="T40" s="2"/>
    </row>
    <row r="41" spans="1:20" ht="12.75" customHeight="1" hidden="1">
      <c r="A41" s="33" t="s">
        <v>20</v>
      </c>
      <c r="B41" s="34">
        <f>$B$36*$J$4^$D$37*$L$4^$B$37*(B$40/1000)^$D$36</f>
        <v>234.84451249905894</v>
      </c>
      <c r="C41" s="35">
        <f>$B$36*$J$4^$D$37*$L$4^$B$37*(C$40/1000)^$D$36</f>
        <v>271.18678710212873</v>
      </c>
      <c r="D41" s="35">
        <f>$B$36*$J$4^$D$37*$L$4^$B$37*(D$40/1000)^$D$36</f>
        <v>287.64210605133474</v>
      </c>
      <c r="E41" s="35">
        <f>$B$36*$J$4^$D$37*$L$4^$B$37*(E$40/1000)^$D$36</f>
        <v>303.20619388624846</v>
      </c>
      <c r="F41" s="36">
        <f>$B$36*$J$4^$D$37*$L$4^$B$37*(F$40/1000)^$D$36</f>
        <v>332.15482765714535</v>
      </c>
      <c r="G41" s="33" t="s">
        <v>20</v>
      </c>
      <c r="H41" s="34">
        <f>$G$36*$J$2^$I$37*$L$2^$G$37*(H$40/1000)^$I$36</f>
        <v>462.4168393568817</v>
      </c>
      <c r="I41" s="35">
        <f>$G$36*$J$2^$I$37*$L$2^$G$37*(I$40/1000)^$I$36</f>
        <v>539.8656109361988</v>
      </c>
      <c r="J41" s="35">
        <f>$G$36*$J$2^$I$37*$L$2^$G$37*(J$40/1000)^$I$36</f>
        <v>575.2015449748917</v>
      </c>
      <c r="K41" s="35">
        <f>$G$36*$J$2^$I$37*$L$2^$G$37*(K$40/1000)^$I$36</f>
        <v>608.765995940244</v>
      </c>
      <c r="L41" s="36">
        <f>$G$36*$J$2^$I$37*$L$2^$G$37*(L$40/1000)^$I$36</f>
        <v>671.540279374763</v>
      </c>
      <c r="M41" s="33" t="s">
        <v>20</v>
      </c>
      <c r="N41" s="34">
        <f>$L$36*$O$2^$N$37*$N$7^$L$37*(N$40/1000)^$N$36</f>
        <v>462.4168393568817</v>
      </c>
      <c r="O41" s="35">
        <f>$L$36*$O$2^$N$37*$N$7^$L$37*(O$40/1000)^$N$36</f>
        <v>539.8656109361988</v>
      </c>
      <c r="P41" s="35">
        <f>$L$36*$O$2^$N$37*$N$7^$L$37*(P$40/1000)^$N$36</f>
        <v>575.2015449748917</v>
      </c>
      <c r="Q41" s="35">
        <f>$L$36*$O$2^$N$37*$N$7^$L$37*(Q$40/1000)^$N$36</f>
        <v>608.765995940244</v>
      </c>
      <c r="R41" s="36">
        <f>$L$36*$O$2^$N$37*$N$7^$L$37*(R$40/1000)^$N$36</f>
        <v>671.540279374763</v>
      </c>
      <c r="S41" s="86"/>
      <c r="T41" s="86"/>
    </row>
    <row r="42" spans="1:20" ht="12.75" customHeight="1" hidden="1">
      <c r="A42" s="24" t="s">
        <v>21</v>
      </c>
      <c r="B42" s="75">
        <f>$B$38*(B$40/1000)^$D$38*$G$4^$B$39</f>
        <v>120.1309414053791</v>
      </c>
      <c r="C42" s="25">
        <f>$B$38*(C$40/1000)^$D$38*$G$4^$B$39</f>
        <v>161.3465058305439</v>
      </c>
      <c r="D42" s="25">
        <f>$B$38*(D$40/1000)^$D$38*$G$4^$B$39</f>
        <v>182.05738147320662</v>
      </c>
      <c r="E42" s="25">
        <f>$B$38*(E$40/1000)^$D$38*$G$4^$B$39</f>
        <v>202.82677128837648</v>
      </c>
      <c r="F42" s="76">
        <f>$B$38*(F$40/1000)^$D$38*$G$4^$B$39</f>
        <v>244.51920560779834</v>
      </c>
      <c r="G42" s="24" t="s">
        <v>21</v>
      </c>
      <c r="H42" s="75">
        <f>$G$38*(H$40/1000)^$I$38*$L$1^$G$39</f>
        <v>102.05623928030711</v>
      </c>
      <c r="I42" s="25">
        <f>$G$38*(I$40/1000)^$I$38*$L$1^$G$39</f>
        <v>148.1273402108532</v>
      </c>
      <c r="J42" s="25">
        <f>$G$38*(J$40/1000)^$I$38*$L$1^$G$39</f>
        <v>172.53521176793862</v>
      </c>
      <c r="K42" s="25">
        <f>$G$38*(K$40/1000)^$I$38*$L$1^$G$39</f>
        <v>197.7578316405295</v>
      </c>
      <c r="L42" s="76">
        <f>$G$38*(L$40/1000)^$I$38*$L$1^$G$39</f>
        <v>250.42253361605677</v>
      </c>
      <c r="M42" s="24" t="s">
        <v>21</v>
      </c>
      <c r="N42" s="75">
        <f>$L$38*(N$40/1000)^$N$38*$K$7^$L$39</f>
        <v>114.08021713417997</v>
      </c>
      <c r="O42" s="25">
        <f>$L$38*(O$40/1000)^$N$38*$K$7^$L$39</f>
        <v>161.70689664825238</v>
      </c>
      <c r="P42" s="25">
        <f>$L$38*(P$40/1000)^$N$38*$K$7^$L$39</f>
        <v>186.5362546730521</v>
      </c>
      <c r="Q42" s="25">
        <f>$L$38*(Q$40/1000)^$N$38*$K$7^$L$39</f>
        <v>211.96062514635307</v>
      </c>
      <c r="R42" s="76">
        <f>$L$38*(R$40/1000)^$N$38*$K$7^$L$39</f>
        <v>264.41217954633186</v>
      </c>
      <c r="S42" s="86"/>
      <c r="T42" s="86"/>
    </row>
    <row r="43" spans="1:20" ht="12.75" customHeight="1" hidden="1">
      <c r="A43" s="24" t="s">
        <v>16</v>
      </c>
      <c r="B43" s="38">
        <f>$N$5</f>
        <v>10</v>
      </c>
      <c r="C43" s="38">
        <f>$N$5</f>
        <v>10</v>
      </c>
      <c r="D43" s="38">
        <f>$N$5</f>
        <v>10</v>
      </c>
      <c r="E43" s="38">
        <f>$N$5</f>
        <v>10</v>
      </c>
      <c r="F43" s="38">
        <f>$N$5</f>
        <v>10</v>
      </c>
      <c r="G43" s="24" t="s">
        <v>16</v>
      </c>
      <c r="H43" s="38">
        <f>$N$5</f>
        <v>10</v>
      </c>
      <c r="I43" s="38">
        <f>$N$5</f>
        <v>10</v>
      </c>
      <c r="J43" s="38">
        <f>$N$5</f>
        <v>10</v>
      </c>
      <c r="K43" s="38">
        <f>$N$5</f>
        <v>10</v>
      </c>
      <c r="L43" s="38">
        <f>$N$5</f>
        <v>10</v>
      </c>
      <c r="M43" s="24" t="s">
        <v>16</v>
      </c>
      <c r="N43" s="38">
        <f>$N$5</f>
        <v>10</v>
      </c>
      <c r="O43" s="38">
        <f>$N$5</f>
        <v>10</v>
      </c>
      <c r="P43" s="38">
        <f>$N$5</f>
        <v>10</v>
      </c>
      <c r="Q43" s="38">
        <f>$N$5</f>
        <v>10</v>
      </c>
      <c r="R43" s="38">
        <f>$N$5</f>
        <v>10</v>
      </c>
      <c r="S43" s="2"/>
      <c r="T43" s="2"/>
    </row>
    <row r="44" spans="1:20" ht="12.75" customHeight="1" hidden="1">
      <c r="A44" s="24" t="s">
        <v>17</v>
      </c>
      <c r="B44" s="41">
        <f>1.592*$G$4^0.4*(B$40/1000)^1.2*1.1</f>
        <v>1.9719126447963093</v>
      </c>
      <c r="C44" s="42">
        <f>1.592*$G$4^0.4*(C$40/1000)^1.2*1.1</f>
        <v>2.7849291811118255</v>
      </c>
      <c r="D44" s="42">
        <f>1.592*$G$4^0.4*(D$40/1000)^1.2*1.1</f>
        <v>3.2077253978240883</v>
      </c>
      <c r="E44" s="42">
        <f>1.592*$G$4^0.4*(E$40/1000)^1.2*1.1</f>
        <v>3.6400401286701873</v>
      </c>
      <c r="F44" s="43">
        <f>1.592*$G$4^0.4*(F$40/1000)^1.2*1.1</f>
        <v>4.530265622550747</v>
      </c>
      <c r="G44" s="24" t="s">
        <v>17</v>
      </c>
      <c r="H44" s="41">
        <f>1.584*$L$1^0.4*(H$40/1000)^1.2*1.1</f>
        <v>1.9620035360284886</v>
      </c>
      <c r="I44" s="42">
        <f>1.584*$L$1^0.4*(I$40/1000)^1.2*1.1</f>
        <v>2.7709345621112638</v>
      </c>
      <c r="J44" s="42">
        <f>1.584*$L$1^0.4*(J$40/1000)^1.2*1.1</f>
        <v>3.1916061747194444</v>
      </c>
      <c r="K44" s="42">
        <f>1.584*$L$1^0.4*(K$40/1000)^1.2*1.1</f>
        <v>3.6217484697321463</v>
      </c>
      <c r="L44" s="43">
        <f>1.584*$L$1^0.4*(L$40/1000)^1.2*1.1</f>
        <v>4.507500468668582</v>
      </c>
      <c r="M44" s="24" t="s">
        <v>17</v>
      </c>
      <c r="N44" s="41">
        <f>1.686*$K$7^0.4*(N$40/1000)^1.2*1.1</f>
        <v>2.0883446728182014</v>
      </c>
      <c r="O44" s="42">
        <f>1.686*$K$7^0.4*(O$40/1000)^1.2*1.1</f>
        <v>2.949365954368428</v>
      </c>
      <c r="P44" s="42">
        <f>1.686*$K$7^0.4*(P$40/1000)^1.2*1.1</f>
        <v>3.397126269303651</v>
      </c>
      <c r="Q44" s="42">
        <f>1.686*$K$7^0.4*(Q$40/1000)^1.2*1.1</f>
        <v>3.8549671211921703</v>
      </c>
      <c r="R44" s="43">
        <f>1.686*$K$7^0.4*(R$40/1000)^1.2*1.1</f>
        <v>4.797756180666179</v>
      </c>
      <c r="S44" s="2"/>
      <c r="T44" s="2"/>
    </row>
    <row r="45" spans="1:20" ht="12.75" customHeight="1" hidden="1">
      <c r="A45" s="24" t="s">
        <v>18</v>
      </c>
      <c r="B45" s="41">
        <f>B$41/(1.2*$J$4)+$E$4</f>
        <v>-0.4296239584117565</v>
      </c>
      <c r="C45" s="42">
        <f>C$41/(1.2*$J$4)+$E$4</f>
        <v>2.5988989251773944</v>
      </c>
      <c r="D45" s="42">
        <f>D$41/(1.2*$J$4)+$E$4</f>
        <v>3.9701755042778935</v>
      </c>
      <c r="E45" s="42">
        <f>E$41/(1.2*$J$4)+$E$4</f>
        <v>5.267182823854039</v>
      </c>
      <c r="F45" s="43">
        <f>F$41/(1.2*$J$4)+$E$4</f>
        <v>7.679568971428779</v>
      </c>
      <c r="G45" s="24" t="s">
        <v>18</v>
      </c>
      <c r="H45" s="41">
        <f>H$41/(1.2*$J$2)+$J$1</f>
        <v>18.534736613073477</v>
      </c>
      <c r="I45" s="42">
        <f>I$41/(1.2*$J$2)+$J$1</f>
        <v>24.988800911349898</v>
      </c>
      <c r="J45" s="42">
        <f>J$41/(1.2*$J$2)+$J$1</f>
        <v>27.933462081240975</v>
      </c>
      <c r="K45" s="42">
        <f>K$41/(1.2*$J$2)+$J$1</f>
        <v>30.730499661687</v>
      </c>
      <c r="L45" s="43">
        <f>L$41/(1.2*$J$2)+$J$1</f>
        <v>35.96168994789692</v>
      </c>
      <c r="M45" s="24" t="s">
        <v>18</v>
      </c>
      <c r="N45" s="41">
        <f>N$41/(1.2*$O$2)+$O$1</f>
        <v>18.534736613073477</v>
      </c>
      <c r="O45" s="42">
        <f>O$41/(1.2*$O$2)+$O$1</f>
        <v>24.988800911349898</v>
      </c>
      <c r="P45" s="42">
        <f>P$41/(1.2*$O$2)+$O$1</f>
        <v>27.933462081240975</v>
      </c>
      <c r="Q45" s="42">
        <f>Q$41/(1.2*$O$2)+$O$1</f>
        <v>30.730499661687</v>
      </c>
      <c r="R45" s="43">
        <f>R$41/(1.2*$O$2)+$O$1</f>
        <v>35.96168994789692</v>
      </c>
      <c r="S45" s="2"/>
      <c r="T45" s="2"/>
    </row>
    <row r="46" spans="1:20" ht="12.75" customHeight="1" hidden="1">
      <c r="A46" s="26" t="s">
        <v>19</v>
      </c>
      <c r="B46" s="107">
        <f>B$42/(1.2*B$44)+$N$4</f>
        <v>70.76752162525779</v>
      </c>
      <c r="C46" s="108">
        <f>C$42/(1.2*C$44)+$N$4</f>
        <v>68.27965552494757</v>
      </c>
      <c r="D46" s="108">
        <f>D$42/(1.2*D$44)+$N$4</f>
        <v>67.296593612383</v>
      </c>
      <c r="E46" s="108">
        <f>E$42/(1.2*E$44)+$N$4</f>
        <v>66.43418847932568</v>
      </c>
      <c r="F46" s="109">
        <f>F$42/(1.2*F$44)+$N$4</f>
        <v>64.97882059251876</v>
      </c>
      <c r="G46" s="26" t="s">
        <v>19</v>
      </c>
      <c r="H46" s="107">
        <f>H$42/(1.2*H$44)+$I$3</f>
        <v>63.346948415330324</v>
      </c>
      <c r="I46" s="108">
        <f>I$42/(1.2*I$44)+$I$3</f>
        <v>64.54794850213227</v>
      </c>
      <c r="J46" s="108">
        <f>J$42/(1.2*J$44)+$I$3</f>
        <v>65.04921198574498</v>
      </c>
      <c r="K46" s="108">
        <f>K$42/(1.2*K$44)+$I$3</f>
        <v>65.50238494225486</v>
      </c>
      <c r="L46" s="109">
        <f>L$42/(1.2*L$44)+$I$3</f>
        <v>66.29737614684896</v>
      </c>
      <c r="M46" s="26" t="s">
        <v>19</v>
      </c>
      <c r="N46" s="107">
        <f>N$42/(1.2*N$44)+$N$3</f>
        <v>65.52258487269961</v>
      </c>
      <c r="O46" s="108">
        <f>O$42/(1.2*O$44)+$N$3</f>
        <v>65.68973443505195</v>
      </c>
      <c r="P46" s="108">
        <f>P$42/(1.2*P$44)+$N$3</f>
        <v>65.75834589924555</v>
      </c>
      <c r="Q46" s="108">
        <f>Q$42/(1.2*Q$44)+$N$3</f>
        <v>65.81980824625103</v>
      </c>
      <c r="R46" s="109">
        <f>R$42/(1.2*R$44)+$N$3</f>
        <v>65.92636112756388</v>
      </c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</sheetData>
  <sheetProtection password="CDBE" sheet="1" objects="1" scenarios="1"/>
  <printOptions/>
  <pageMargins left="1.1811023622047245" right="0.3937007874015748" top="1.3779527559055118" bottom="0.5905511811023623" header="0.5118110236220472" footer="0.5118110236220472"/>
  <pageSetup horizontalDpi="360" verticalDpi="36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Rettig Lämpö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 Iivonen</dc:creator>
  <cp:keywords/>
  <dc:description/>
  <cp:lastModifiedBy>Rafał Janiszewski</cp:lastModifiedBy>
  <cp:lastPrinted>2001-11-05T10:36:00Z</cp:lastPrinted>
  <dcterms:created xsi:type="dcterms:W3CDTF">2000-09-03T10:36:45Z</dcterms:created>
  <dcterms:modified xsi:type="dcterms:W3CDTF">2001-06-11T17:17:21Z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