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90" windowWidth="14940" windowHeight="9180" activeTab="0"/>
  </bookViews>
  <sheets>
    <sheet name="TP" sheetId="1" r:id="rId1"/>
  </sheets>
  <definedNames>
    <definedName name="_xlnm.Print_Area" localSheetId="0">'TP'!$A$1:$W$35</definedName>
  </definedNames>
  <calcPr fullCalcOnLoad="1"/>
</workbook>
</file>

<file path=xl/comments1.xml><?xml version="1.0" encoding="utf-8"?>
<comments xmlns="http://schemas.openxmlformats.org/spreadsheetml/2006/main">
  <authors>
    <author>Mikko Iivonen</author>
  </authors>
  <commentList>
    <comment ref="H4" authorId="0">
      <text>
        <r>
          <rPr>
            <sz val="8"/>
            <rFont val="Tahoma"/>
            <family val="0"/>
          </rPr>
          <t>Share of leak ventilation</t>
        </r>
      </text>
    </comment>
  </commentList>
</comments>
</file>

<file path=xl/sharedStrings.xml><?xml version="1.0" encoding="utf-8"?>
<sst xmlns="http://schemas.openxmlformats.org/spreadsheetml/2006/main" count="125" uniqueCount="56">
  <si>
    <t>b=</t>
  </si>
  <si>
    <t>c0=</t>
  </si>
  <si>
    <t>c1=</t>
  </si>
  <si>
    <t>bst=</t>
  </si>
  <si>
    <t>cst0=</t>
  </si>
  <si>
    <t>n=</t>
  </si>
  <si>
    <t>a1=</t>
  </si>
  <si>
    <t>d1=</t>
  </si>
  <si>
    <t>b2=</t>
  </si>
  <si>
    <t>c2=</t>
  </si>
  <si>
    <t>b1=</t>
  </si>
  <si>
    <t>kai=</t>
  </si>
  <si>
    <t>kst=</t>
  </si>
  <si>
    <t>km=</t>
  </si>
  <si>
    <t>Vo</t>
  </si>
  <si>
    <t>Vi</t>
  </si>
  <si>
    <t>tref.ao</t>
  </si>
  <si>
    <t>tref.ai</t>
  </si>
  <si>
    <t>ti,ref.</t>
  </si>
  <si>
    <t>Pa</t>
  </si>
  <si>
    <t>˚C</t>
  </si>
  <si>
    <t>K</t>
  </si>
  <si>
    <t>%</t>
  </si>
  <si>
    <r>
      <t>ΔT</t>
    </r>
    <r>
      <rPr>
        <vertAlign val="subscript"/>
        <sz val="10"/>
        <rFont val="Tahoma"/>
        <family val="2"/>
      </rPr>
      <t>in</t>
    </r>
    <r>
      <rPr>
        <sz val="10"/>
        <rFont val="Tahoma"/>
        <family val="2"/>
      </rPr>
      <t>=</t>
    </r>
  </si>
  <si>
    <r>
      <t>ΔT</t>
    </r>
    <r>
      <rPr>
        <vertAlign val="subscript"/>
        <sz val="10"/>
        <rFont val="Tahoma"/>
        <family val="2"/>
      </rPr>
      <t>out</t>
    </r>
    <r>
      <rPr>
        <sz val="10"/>
        <rFont val="Tahoma"/>
        <family val="2"/>
      </rPr>
      <t>=</t>
    </r>
  </si>
  <si>
    <t>Purmo C21 Heat Output Regression Parameters</t>
  </si>
  <si>
    <t>AIR21 Device Heat Output Regression AIRrameters</t>
  </si>
  <si>
    <t>OAIRo</t>
  </si>
  <si>
    <t>OAIRi</t>
  </si>
  <si>
    <t>Purmo C33 Heat Output Regression AIRrameters</t>
  </si>
  <si>
    <t>AIR22 Device Heat Output Regression AIRrameters</t>
  </si>
  <si>
    <t>l/s-unit</t>
  </si>
  <si>
    <t>pcs</t>
  </si>
  <si>
    <t>Heatoutputs</t>
  </si>
  <si>
    <t xml:space="preserve"> AIR 11</t>
  </si>
  <si>
    <t xml:space="preserve"> AIR 21</t>
  </si>
  <si>
    <t xml:space="preserve"> AIR 22</t>
  </si>
  <si>
    <r>
      <t>t</t>
    </r>
    <r>
      <rPr>
        <vertAlign val="subscript"/>
        <sz val="10"/>
        <rFont val="Tahoma"/>
        <family val="2"/>
      </rPr>
      <t>flow</t>
    </r>
    <r>
      <rPr>
        <sz val="10"/>
        <rFont val="Tahoma"/>
        <family val="2"/>
      </rPr>
      <t>=</t>
    </r>
  </si>
  <si>
    <r>
      <t>t</t>
    </r>
    <r>
      <rPr>
        <vertAlign val="subscript"/>
        <sz val="10"/>
        <rFont val="Tahoma"/>
        <family val="2"/>
      </rPr>
      <t>room</t>
    </r>
    <r>
      <rPr>
        <sz val="10"/>
        <rFont val="Tahoma"/>
        <family val="2"/>
      </rPr>
      <t>=</t>
    </r>
  </si>
  <si>
    <r>
      <t>V</t>
    </r>
    <r>
      <rPr>
        <vertAlign val="subscript"/>
        <sz val="10"/>
        <rFont val="Tahoma"/>
        <family val="2"/>
      </rPr>
      <t>100</t>
    </r>
    <r>
      <rPr>
        <sz val="10"/>
        <rFont val="Tahoma"/>
        <family val="2"/>
      </rPr>
      <t>=</t>
    </r>
  </si>
  <si>
    <r>
      <t>t</t>
    </r>
    <r>
      <rPr>
        <vertAlign val="subscript"/>
        <sz val="10"/>
        <rFont val="Tahoma"/>
        <family val="2"/>
      </rPr>
      <t>return</t>
    </r>
    <r>
      <rPr>
        <sz val="10"/>
        <rFont val="Tahoma"/>
        <family val="2"/>
      </rPr>
      <t>=</t>
    </r>
  </si>
  <si>
    <r>
      <t>t</t>
    </r>
    <r>
      <rPr>
        <vertAlign val="subscript"/>
        <sz val="10"/>
        <rFont val="Tahoma"/>
        <family val="2"/>
      </rPr>
      <t>outside</t>
    </r>
    <r>
      <rPr>
        <sz val="10"/>
        <rFont val="Tahoma"/>
        <family val="2"/>
      </rPr>
      <t>=</t>
    </r>
  </si>
  <si>
    <r>
      <t>V</t>
    </r>
    <r>
      <rPr>
        <vertAlign val="subscript"/>
        <sz val="10"/>
        <rFont val="Tahoma"/>
        <family val="2"/>
      </rPr>
      <t>leakage</t>
    </r>
    <r>
      <rPr>
        <sz val="10"/>
        <rFont val="Tahoma"/>
        <family val="2"/>
      </rPr>
      <t xml:space="preserve"> =</t>
    </r>
  </si>
  <si>
    <t>Dimensioning Data</t>
  </si>
  <si>
    <r>
      <t>Air Ref. Temps by V</t>
    </r>
    <r>
      <rPr>
        <b/>
        <vertAlign val="subscript"/>
        <sz val="10"/>
        <rFont val="Arial"/>
        <family val="2"/>
      </rPr>
      <t>100</t>
    </r>
  </si>
  <si>
    <t>Purmo C11 Heat Output Regression parameters</t>
  </si>
  <si>
    <t>AIR11 Device Heat Output Regression parameters</t>
  </si>
  <si>
    <t>Purmo C22 Heat Output Regression parameters</t>
  </si>
  <si>
    <t>AIR22 Device Heat Output Regression parameters</t>
  </si>
  <si>
    <t>F9 filter Δp=</t>
  </si>
  <si>
    <t>THERMOPANEL TP + AIR</t>
  </si>
  <si>
    <t>Radiator TP 11 +</t>
  </si>
  <si>
    <t>Radiator TP 21 +</t>
  </si>
  <si>
    <t>Radiator TP 22 +</t>
  </si>
  <si>
    <t>Radiator TP 33 +</t>
  </si>
  <si>
    <t xml:space="preserve"> AIR Vers. 14.12.2007 TP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</si>
</sst>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.00000"/>
    <numFmt numFmtId="189" formatCode="0.00000"/>
    <numFmt numFmtId="190" formatCode="0.0000"/>
    <numFmt numFmtId="191" formatCode="&quot;Ja&quot;;&quot;Ja&quot;;&quot;Nej&quot;"/>
    <numFmt numFmtId="192" formatCode="&quot;Sant&quot;;&quot;Sant&quot;;&quot;Falskt&quot;"/>
    <numFmt numFmtId="193" formatCode="&quot;På&quot;;&quot;På&quot;;&quot;Av&quot;"/>
    <numFmt numFmtId="194" formatCode="0.0"/>
    <numFmt numFmtId="195" formatCode="0.000"/>
    <numFmt numFmtId="196" formatCode="0.000000"/>
    <numFmt numFmtId="197" formatCode="d\ mmmm\ yyyy"/>
    <numFmt numFmtId="198" formatCode="0.0000000"/>
    <numFmt numFmtId="199" formatCode="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vertAlign val="subscript"/>
      <sz val="10"/>
      <name val="Tahoma"/>
      <family val="2"/>
    </font>
    <font>
      <b/>
      <sz val="10"/>
      <color indexed="40"/>
      <name val="Tahoma"/>
      <family val="2"/>
    </font>
    <font>
      <b/>
      <sz val="10"/>
      <color indexed="8"/>
      <name val="Tahoma"/>
      <family val="2"/>
    </font>
    <font>
      <b/>
      <sz val="10"/>
      <color indexed="11"/>
      <name val="Tahoma"/>
      <family val="2"/>
    </font>
    <font>
      <b/>
      <sz val="14"/>
      <color indexed="10"/>
      <name val="Tahoma"/>
      <family val="2"/>
    </font>
    <font>
      <b/>
      <sz val="14"/>
      <color indexed="11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 quotePrefix="1">
      <alignment/>
      <protection hidden="1"/>
    </xf>
    <xf numFmtId="194" fontId="8" fillId="2" borderId="0" xfId="0" applyNumberFormat="1" applyFont="1" applyFill="1" applyAlignment="1" applyProtection="1">
      <alignment horizontal="center"/>
      <protection hidden="1" locked="0"/>
    </xf>
    <xf numFmtId="0" fontId="8" fillId="2" borderId="0" xfId="0" applyNumberFormat="1" applyFont="1" applyFill="1" applyAlignment="1" applyProtection="1">
      <alignment horizontal="center"/>
      <protection hidden="1" locked="0"/>
    </xf>
    <xf numFmtId="1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right"/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lef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" fontId="6" fillId="4" borderId="0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194" fontId="8" fillId="4" borderId="0" xfId="0" applyNumberFormat="1" applyFont="1" applyFill="1" applyAlignment="1" applyProtection="1">
      <alignment horizontal="center"/>
      <protection hidden="1"/>
    </xf>
    <xf numFmtId="1" fontId="5" fillId="4" borderId="0" xfId="0" applyNumberFormat="1" applyFont="1" applyFill="1" applyBorder="1" applyAlignment="1" applyProtection="1">
      <alignment horizontal="right"/>
      <protection hidden="1"/>
    </xf>
    <xf numFmtId="0" fontId="4" fillId="4" borderId="0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" fontId="4" fillId="4" borderId="0" xfId="0" applyNumberFormat="1" applyFont="1" applyFill="1" applyBorder="1" applyAlignment="1" applyProtection="1">
      <alignment horizontal="center"/>
      <protection hidden="1"/>
    </xf>
    <xf numFmtId="194" fontId="6" fillId="4" borderId="0" xfId="0" applyNumberFormat="1" applyFont="1" applyFill="1" applyBorder="1" applyAlignment="1" applyProtection="1">
      <alignment horizontal="center"/>
      <protection hidden="1"/>
    </xf>
    <xf numFmtId="194" fontId="4" fillId="4" borderId="0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17" fillId="4" borderId="0" xfId="0" applyFont="1" applyFill="1" applyAlignment="1" applyProtection="1">
      <alignment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3" fillId="3" borderId="6" xfId="0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1" fontId="6" fillId="4" borderId="13" xfId="0" applyNumberFormat="1" applyFont="1" applyFill="1" applyBorder="1" applyAlignment="1" applyProtection="1">
      <alignment horizontal="center"/>
      <protection hidden="1"/>
    </xf>
    <xf numFmtId="1" fontId="6" fillId="4" borderId="14" xfId="0" applyNumberFormat="1" applyFont="1" applyFill="1" applyBorder="1" applyAlignment="1" applyProtection="1">
      <alignment horizontal="center"/>
      <protection hidden="1"/>
    </xf>
    <xf numFmtId="1" fontId="6" fillId="4" borderId="7" xfId="0" applyNumberFormat="1" applyFont="1" applyFill="1" applyBorder="1" applyAlignment="1" applyProtection="1">
      <alignment horizontal="center"/>
      <protection hidden="1"/>
    </xf>
    <xf numFmtId="1" fontId="6" fillId="4" borderId="8" xfId="0" applyNumberFormat="1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/>
      <protection hidden="1"/>
    </xf>
    <xf numFmtId="0" fontId="7" fillId="4" borderId="16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/>
      <protection hidden="1"/>
    </xf>
    <xf numFmtId="0" fontId="4" fillId="4" borderId="18" xfId="0" applyFont="1" applyFill="1" applyBorder="1" applyAlignment="1" applyProtection="1">
      <alignment horizontal="right"/>
      <protection hidden="1"/>
    </xf>
    <xf numFmtId="1" fontId="4" fillId="4" borderId="19" xfId="0" applyNumberFormat="1" applyFont="1" applyFill="1" applyBorder="1" applyAlignment="1" applyProtection="1">
      <alignment horizontal="center"/>
      <protection hidden="1"/>
    </xf>
    <xf numFmtId="1" fontId="4" fillId="4" borderId="20" xfId="0" applyNumberFormat="1" applyFont="1" applyFill="1" applyBorder="1" applyAlignment="1" applyProtection="1">
      <alignment horizontal="center"/>
      <protection hidden="1"/>
    </xf>
    <xf numFmtId="0" fontId="4" fillId="4" borderId="21" xfId="0" applyFont="1" applyFill="1" applyBorder="1" applyAlignment="1" applyProtection="1">
      <alignment/>
      <protection hidden="1"/>
    </xf>
    <xf numFmtId="0" fontId="4" fillId="4" borderId="22" xfId="0" applyFont="1" applyFill="1" applyBorder="1" applyAlignment="1" applyProtection="1">
      <alignment/>
      <protection hidden="1"/>
    </xf>
    <xf numFmtId="0" fontId="4" fillId="4" borderId="23" xfId="0" applyFont="1" applyFill="1" applyBorder="1" applyAlignment="1" applyProtection="1">
      <alignment/>
      <protection hidden="1"/>
    </xf>
    <xf numFmtId="0" fontId="4" fillId="4" borderId="24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4" borderId="25" xfId="0" applyFont="1" applyFill="1" applyBorder="1" applyAlignment="1" applyProtection="1">
      <alignment/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0" fontId="4" fillId="4" borderId="19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center"/>
      <protection hidden="1"/>
    </xf>
    <xf numFmtId="0" fontId="4" fillId="3" borderId="29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194" fontId="9" fillId="4" borderId="9" xfId="0" applyNumberFormat="1" applyFont="1" applyFill="1" applyBorder="1" applyAlignment="1" applyProtection="1">
      <alignment horizontal="center"/>
      <protection hidden="1"/>
    </xf>
    <xf numFmtId="194" fontId="9" fillId="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194" fontId="11" fillId="4" borderId="19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2" fontId="7" fillId="4" borderId="0" xfId="0" applyNumberFormat="1" applyFont="1" applyFill="1" applyAlignment="1" applyProtection="1">
      <alignment/>
      <protection hidden="1"/>
    </xf>
    <xf numFmtId="1" fontId="7" fillId="4" borderId="0" xfId="0" applyNumberFormat="1" applyFont="1" applyFill="1" applyBorder="1" applyAlignment="1" applyProtection="1">
      <alignment horizontal="right"/>
      <protection hidden="1"/>
    </xf>
    <xf numFmtId="194" fontId="7" fillId="4" borderId="0" xfId="0" applyNumberFormat="1" applyFont="1" applyFill="1" applyAlignment="1" applyProtection="1">
      <alignment/>
      <protection hidden="1"/>
    </xf>
    <xf numFmtId="0" fontId="4" fillId="4" borderId="9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 horizontal="right"/>
      <protection hidden="1"/>
    </xf>
    <xf numFmtId="189" fontId="4" fillId="4" borderId="0" xfId="0" applyNumberFormat="1" applyFont="1" applyFill="1" applyBorder="1" applyAlignment="1" applyProtection="1">
      <alignment/>
      <protection hidden="1"/>
    </xf>
    <xf numFmtId="0" fontId="4" fillId="4" borderId="0" xfId="0" applyNumberFormat="1" applyFont="1" applyFill="1" applyBorder="1" applyAlignment="1" applyProtection="1">
      <alignment horizontal="right"/>
      <protection hidden="1"/>
    </xf>
    <xf numFmtId="196" fontId="4" fillId="4" borderId="22" xfId="0" applyNumberFormat="1" applyFont="1" applyFill="1" applyBorder="1" applyAlignment="1" applyProtection="1">
      <alignment/>
      <protection hidden="1"/>
    </xf>
    <xf numFmtId="0" fontId="4" fillId="4" borderId="22" xfId="0" applyNumberFormat="1" applyFont="1" applyFill="1" applyBorder="1" applyAlignment="1" applyProtection="1">
      <alignment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1" fontId="4" fillId="4" borderId="22" xfId="0" applyNumberFormat="1" applyFont="1" applyFill="1" applyBorder="1" applyAlignment="1" applyProtection="1">
      <alignment horizontal="center"/>
      <protection hidden="1"/>
    </xf>
    <xf numFmtId="194" fontId="6" fillId="4" borderId="22" xfId="0" applyNumberFormat="1" applyFont="1" applyFill="1" applyBorder="1" applyAlignment="1" applyProtection="1">
      <alignment horizontal="center"/>
      <protection hidden="1"/>
    </xf>
    <xf numFmtId="194" fontId="4" fillId="4" borderId="22" xfId="0" applyNumberFormat="1" applyFont="1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right"/>
      <protection hidden="1"/>
    </xf>
    <xf numFmtId="194" fontId="4" fillId="4" borderId="19" xfId="0" applyNumberFormat="1" applyFont="1" applyFill="1" applyBorder="1" applyAlignment="1" applyProtection="1">
      <alignment horizontal="center"/>
      <protection hidden="1"/>
    </xf>
    <xf numFmtId="194" fontId="4" fillId="4" borderId="23" xfId="0" applyNumberFormat="1" applyFont="1" applyFill="1" applyBorder="1" applyAlignment="1" applyProtection="1">
      <alignment horizontal="center"/>
      <protection hidden="1"/>
    </xf>
    <xf numFmtId="196" fontId="4" fillId="4" borderId="0" xfId="0" applyNumberFormat="1" applyFont="1" applyFill="1" applyBorder="1" applyAlignment="1" applyProtection="1">
      <alignment/>
      <protection hidden="1"/>
    </xf>
    <xf numFmtId="198" fontId="4" fillId="4" borderId="22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8</xdr:row>
      <xdr:rowOff>28575</xdr:rowOff>
    </xdr:from>
    <xdr:to>
      <xdr:col>22</xdr:col>
      <xdr:colOff>371475</xdr:colOff>
      <xdr:row>9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066800"/>
          <a:ext cx="3000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3" width="5.7109375" style="1" customWidth="1"/>
    <col min="4" max="4" width="6.7109375" style="1" customWidth="1"/>
    <col min="5" max="5" width="5.7109375" style="1" customWidth="1"/>
    <col min="6" max="6" width="3.7109375" style="1" customWidth="1"/>
    <col min="7" max="7" width="8.7109375" style="1" customWidth="1"/>
    <col min="8" max="11" width="5.7109375" style="1" customWidth="1"/>
    <col min="12" max="12" width="3.7109375" style="1" customWidth="1"/>
    <col min="13" max="13" width="8.7109375" style="1" customWidth="1"/>
    <col min="14" max="17" width="5.7109375" style="1" customWidth="1"/>
    <col min="18" max="18" width="3.7109375" style="1" customWidth="1"/>
    <col min="19" max="19" width="8.7109375" style="1" customWidth="1"/>
    <col min="20" max="22" width="5.7109375" style="1" customWidth="1"/>
    <col min="23" max="23" width="6.00390625" style="1" customWidth="1"/>
    <col min="24" max="25" width="7.140625" style="22" customWidth="1"/>
    <col min="26" max="26" width="13.421875" style="22" hidden="1" customWidth="1"/>
    <col min="27" max="27" width="8.57421875" style="22" hidden="1" customWidth="1"/>
    <col min="28" max="30" width="7.140625" style="22" hidden="1" customWidth="1"/>
    <col min="31" max="31" width="9.7109375" style="22" hidden="1" customWidth="1"/>
    <col min="32" max="32" width="7.140625" style="22" hidden="1" customWidth="1"/>
    <col min="33" max="33" width="11.140625" style="22" hidden="1" customWidth="1"/>
    <col min="34" max="34" width="10.57421875" style="22" hidden="1" customWidth="1"/>
    <col min="35" max="37" width="7.140625" style="22" hidden="1" customWidth="1"/>
    <col min="38" max="38" width="11.28125" style="22" hidden="1" customWidth="1"/>
    <col min="39" max="57" width="7.140625" style="22" customWidth="1"/>
    <col min="58" max="16384" width="7.140625" style="1" customWidth="1"/>
  </cols>
  <sheetData>
    <row r="1" spans="1:58" ht="12.75" customHeight="1">
      <c r="A1" s="19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BF1" s="22"/>
    </row>
    <row r="2" spans="1:2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9"/>
      <c r="O2" s="29"/>
      <c r="P2" s="29"/>
      <c r="Q2" s="29"/>
      <c r="R2" s="63"/>
      <c r="S2" s="65"/>
      <c r="T2" s="68" t="s">
        <v>23</v>
      </c>
      <c r="U2" s="79">
        <f>(B3-B4)/LN((B3-E3)/(B4-E3))</f>
        <v>49.83288654563971</v>
      </c>
      <c r="V2" s="84"/>
      <c r="W2" s="62" t="s">
        <v>21</v>
      </c>
    </row>
    <row r="3" spans="1:23" ht="12.75" customHeight="1">
      <c r="A3" s="25" t="s">
        <v>37</v>
      </c>
      <c r="B3" s="7">
        <v>75</v>
      </c>
      <c r="C3" s="23" t="s">
        <v>20</v>
      </c>
      <c r="D3" s="27" t="s">
        <v>38</v>
      </c>
      <c r="E3" s="7">
        <v>20</v>
      </c>
      <c r="F3" s="23" t="s">
        <v>20</v>
      </c>
      <c r="G3" s="22"/>
      <c r="H3" s="25" t="s">
        <v>39</v>
      </c>
      <c r="I3" s="7">
        <v>12</v>
      </c>
      <c r="J3" s="22" t="s">
        <v>31</v>
      </c>
      <c r="L3" s="27" t="s">
        <v>5</v>
      </c>
      <c r="M3" s="10">
        <v>1</v>
      </c>
      <c r="N3" s="29" t="s">
        <v>32</v>
      </c>
      <c r="O3" s="29"/>
      <c r="P3" s="29"/>
      <c r="Q3" s="29"/>
      <c r="R3" s="63"/>
      <c r="S3" s="66"/>
      <c r="T3" s="28" t="s">
        <v>24</v>
      </c>
      <c r="U3" s="80">
        <f>(B3-B4)/LN((B3-E4)/(B4-E4))</f>
        <v>114.9274996669899</v>
      </c>
      <c r="V3" s="81"/>
      <c r="W3" s="63" t="s">
        <v>21</v>
      </c>
    </row>
    <row r="4" spans="1:50" ht="12.75" customHeight="1">
      <c r="A4" s="25" t="s">
        <v>40</v>
      </c>
      <c r="B4" s="7">
        <v>65</v>
      </c>
      <c r="C4" s="23" t="s">
        <v>20</v>
      </c>
      <c r="D4" s="27" t="s">
        <v>41</v>
      </c>
      <c r="E4" s="8">
        <v>-45</v>
      </c>
      <c r="F4" s="23" t="s">
        <v>20</v>
      </c>
      <c r="G4" s="22"/>
      <c r="H4" s="27" t="s">
        <v>42</v>
      </c>
      <c r="I4" s="9">
        <v>0</v>
      </c>
      <c r="J4" s="22" t="s">
        <v>22</v>
      </c>
      <c r="K4" s="22"/>
      <c r="L4" s="22"/>
      <c r="M4" s="22"/>
      <c r="N4" s="29"/>
      <c r="O4" s="29"/>
      <c r="P4" s="29"/>
      <c r="Q4" s="29"/>
      <c r="R4" s="63"/>
      <c r="S4" s="67"/>
      <c r="T4" s="69" t="s">
        <v>49</v>
      </c>
      <c r="U4" s="82">
        <f>IF(M3&lt;1,0,(0.2945*$I$3^1.4159))</f>
        <v>9.933402317603646</v>
      </c>
      <c r="V4" s="83"/>
      <c r="W4" s="64" t="s">
        <v>19</v>
      </c>
      <c r="X4" s="34">
        <f>1.186*$AG$9^0.926</f>
        <v>11.841494643600178</v>
      </c>
      <c r="AT4" s="33"/>
      <c r="AX4" s="32"/>
    </row>
    <row r="5" spans="1:23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43" t="s">
        <v>55</v>
      </c>
    </row>
    <row r="6" spans="1:23" ht="18" customHeight="1">
      <c r="A6" s="78" t="s">
        <v>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18" customHeight="1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40" ht="18.75" customHeight="1" hidden="1">
      <c r="A8" s="2"/>
      <c r="D8" s="3">
        <f>IF(B3&lt;B4,"X = wrong input ","")</f>
      </c>
      <c r="AC8" s="26">
        <f>SUM(B3)</f>
        <v>75</v>
      </c>
      <c r="AD8" s="26">
        <f>SUM(E4)</f>
        <v>-45</v>
      </c>
      <c r="AE8" s="85">
        <f>(AC8-AC9)/LN((AC8-AJ8)/(AC9-AJ8))</f>
        <v>49.83288654563971</v>
      </c>
      <c r="AF8" s="26">
        <f>SUM(B3)</f>
        <v>75</v>
      </c>
      <c r="AG8" s="26">
        <f>SUM(E4)</f>
        <v>-45</v>
      </c>
      <c r="AH8" s="85">
        <f>(AF8-AF9)/LN((AF8-AM8)/(AF9-AM8))</f>
        <v>49.83288654563971</v>
      </c>
      <c r="AI8" s="26"/>
      <c r="AJ8" s="26">
        <f>SUM(E3)</f>
        <v>20</v>
      </c>
      <c r="AK8" s="26">
        <f>SUM(M3)</f>
        <v>1</v>
      </c>
      <c r="AL8" s="86">
        <v>12</v>
      </c>
      <c r="AM8" s="26">
        <f>SUM(E3)</f>
        <v>20</v>
      </c>
      <c r="AN8" s="26">
        <f>SUM(M3)</f>
        <v>1</v>
      </c>
    </row>
    <row r="9" spans="1:52" ht="18" customHeight="1">
      <c r="A9" s="22"/>
      <c r="B9" s="22"/>
      <c r="C9" s="22"/>
      <c r="D9" s="22"/>
      <c r="E9" s="22"/>
      <c r="F9" s="22"/>
      <c r="G9" s="22"/>
      <c r="H9" s="22"/>
      <c r="I9" s="22"/>
      <c r="J9" s="30"/>
      <c r="K9" s="30"/>
      <c r="L9" s="30"/>
      <c r="M9" s="30"/>
      <c r="N9" s="22"/>
      <c r="O9" s="22"/>
      <c r="P9" s="22"/>
      <c r="Q9" s="22"/>
      <c r="R9" s="22"/>
      <c r="S9" s="22"/>
      <c r="T9" s="22"/>
      <c r="U9" s="22"/>
      <c r="V9" s="22"/>
      <c r="W9" s="22"/>
      <c r="Z9" s="26"/>
      <c r="AA9" s="26"/>
      <c r="AB9" s="26"/>
      <c r="AC9" s="87">
        <f>SUM(B4)</f>
        <v>65</v>
      </c>
      <c r="AD9" s="87">
        <f>SUM(I3)</f>
        <v>12</v>
      </c>
      <c r="AE9" s="85">
        <f>(AC8-AC9)/LN((AC8-AD8)/(AC9-AD8))</f>
        <v>114.9274996669899</v>
      </c>
      <c r="AF9" s="26">
        <f>SUM(B4)</f>
        <v>65</v>
      </c>
      <c r="AG9" s="87">
        <f>SUM(I3)</f>
        <v>12</v>
      </c>
      <c r="AH9" s="85">
        <f>(AF8-AF9)/LN((AF8-AG8)/(AF9-AG8))</f>
        <v>114.9274996669899</v>
      </c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38" ht="18" customHeight="1" thickBot="1">
      <c r="A10" s="26" t="s">
        <v>33</v>
      </c>
      <c r="B10" s="22"/>
      <c r="C10" s="22"/>
      <c r="D10" s="22"/>
      <c r="E10" s="22"/>
      <c r="F10" s="22"/>
      <c r="G10" s="22"/>
      <c r="H10" s="22"/>
      <c r="I10" s="22"/>
      <c r="J10" s="29"/>
      <c r="K10" s="22"/>
      <c r="L10" s="31">
        <f>IF($U$4&gt;15,"Note! High Pressure Difference","")</f>
      </c>
      <c r="M10" s="29"/>
      <c r="N10" s="29"/>
      <c r="O10" s="22"/>
      <c r="P10" s="22"/>
      <c r="Q10" s="22"/>
      <c r="R10" s="22"/>
      <c r="S10" s="22"/>
      <c r="T10" s="22"/>
      <c r="U10" s="22"/>
      <c r="V10" s="22"/>
      <c r="W10" s="22"/>
      <c r="Z10" s="26"/>
      <c r="AA10" s="26"/>
      <c r="AB10" s="26"/>
      <c r="AC10" s="87"/>
      <c r="AD10" s="87"/>
      <c r="AE10" s="85"/>
      <c r="AF10" s="26"/>
      <c r="AG10" s="87"/>
      <c r="AH10" s="85"/>
      <c r="AI10" s="26"/>
      <c r="AJ10" s="26"/>
      <c r="AK10" s="26"/>
      <c r="AL10" s="26"/>
    </row>
    <row r="11" spans="1:40" ht="12.75">
      <c r="A11" s="72" t="s">
        <v>51</v>
      </c>
      <c r="B11" s="73"/>
      <c r="C11" s="73"/>
      <c r="D11" s="73"/>
      <c r="E11" s="74"/>
      <c r="F11" s="22"/>
      <c r="G11" s="72" t="s">
        <v>52</v>
      </c>
      <c r="H11" s="73"/>
      <c r="I11" s="73"/>
      <c r="J11" s="73"/>
      <c r="K11" s="74"/>
      <c r="L11" s="22"/>
      <c r="M11" s="72" t="s">
        <v>53</v>
      </c>
      <c r="N11" s="73"/>
      <c r="O11" s="73"/>
      <c r="P11" s="73"/>
      <c r="Q11" s="74"/>
      <c r="R11" s="22"/>
      <c r="S11" s="72" t="s">
        <v>54</v>
      </c>
      <c r="T11" s="73"/>
      <c r="U11" s="73"/>
      <c r="V11" s="73"/>
      <c r="W11" s="74"/>
      <c r="Z11" s="65" t="s">
        <v>45</v>
      </c>
      <c r="AA11" s="88"/>
      <c r="AB11" s="88"/>
      <c r="AC11" s="88"/>
      <c r="AD11" s="88"/>
      <c r="AE11" s="62"/>
      <c r="AF11" s="32"/>
      <c r="AG11" s="65" t="s">
        <v>25</v>
      </c>
      <c r="AH11" s="88"/>
      <c r="AI11" s="88"/>
      <c r="AJ11" s="88"/>
      <c r="AK11" s="88"/>
      <c r="AL11" s="62"/>
      <c r="AM11" s="32"/>
      <c r="AN11" s="32"/>
    </row>
    <row r="12" spans="1:40" ht="12.75">
      <c r="A12" s="75" t="s">
        <v>34</v>
      </c>
      <c r="B12" s="76"/>
      <c r="C12" s="76"/>
      <c r="D12" s="76"/>
      <c r="E12" s="77"/>
      <c r="F12" s="22"/>
      <c r="G12" s="75" t="s">
        <v>35</v>
      </c>
      <c r="H12" s="76"/>
      <c r="I12" s="76"/>
      <c r="J12" s="76"/>
      <c r="K12" s="77"/>
      <c r="L12" s="22"/>
      <c r="M12" s="75" t="s">
        <v>36</v>
      </c>
      <c r="N12" s="76"/>
      <c r="O12" s="76"/>
      <c r="P12" s="76"/>
      <c r="Q12" s="77"/>
      <c r="R12" s="22"/>
      <c r="S12" s="75" t="s">
        <v>36</v>
      </c>
      <c r="T12" s="76"/>
      <c r="U12" s="76"/>
      <c r="V12" s="76"/>
      <c r="W12" s="77"/>
      <c r="Z12" s="89" t="s">
        <v>13</v>
      </c>
      <c r="AA12" s="90">
        <v>9.57017</v>
      </c>
      <c r="AB12" s="91" t="s">
        <v>0</v>
      </c>
      <c r="AC12" s="35">
        <v>0.98009</v>
      </c>
      <c r="AD12" s="91" t="s">
        <v>1</v>
      </c>
      <c r="AE12" s="92">
        <v>1.35093</v>
      </c>
      <c r="AF12" s="32"/>
      <c r="AG12" s="89" t="s">
        <v>13</v>
      </c>
      <c r="AH12" s="90">
        <v>11.3416</v>
      </c>
      <c r="AI12" s="91" t="s">
        <v>0</v>
      </c>
      <c r="AJ12" s="35">
        <v>0.81136</v>
      </c>
      <c r="AK12" s="91" t="s">
        <v>1</v>
      </c>
      <c r="AL12" s="93">
        <v>1.32532</v>
      </c>
      <c r="AM12" s="32"/>
      <c r="AN12" s="32"/>
    </row>
    <row r="13" spans="1:40" ht="12.75">
      <c r="A13" s="11"/>
      <c r="B13" s="12">
        <v>300</v>
      </c>
      <c r="C13" s="12">
        <v>400</v>
      </c>
      <c r="D13" s="12">
        <v>500</v>
      </c>
      <c r="E13" s="13">
        <v>600</v>
      </c>
      <c r="F13" s="22"/>
      <c r="G13" s="11"/>
      <c r="H13" s="12">
        <v>300</v>
      </c>
      <c r="I13" s="12">
        <v>400</v>
      </c>
      <c r="J13" s="12">
        <v>500</v>
      </c>
      <c r="K13" s="13">
        <v>600</v>
      </c>
      <c r="L13" s="22"/>
      <c r="M13" s="11"/>
      <c r="N13" s="12">
        <v>300</v>
      </c>
      <c r="O13" s="12">
        <v>400</v>
      </c>
      <c r="P13" s="12">
        <v>500</v>
      </c>
      <c r="Q13" s="13">
        <v>600</v>
      </c>
      <c r="R13" s="22"/>
      <c r="S13" s="11"/>
      <c r="T13" s="12">
        <v>300</v>
      </c>
      <c r="U13" s="12">
        <v>400</v>
      </c>
      <c r="V13" s="12">
        <v>500</v>
      </c>
      <c r="W13" s="13">
        <v>600</v>
      </c>
      <c r="Z13" s="89"/>
      <c r="AA13" s="90"/>
      <c r="AB13" s="91"/>
      <c r="AC13" s="35"/>
      <c r="AD13" s="91" t="s">
        <v>2</v>
      </c>
      <c r="AE13" s="92">
        <v>-0.04875</v>
      </c>
      <c r="AF13" s="32"/>
      <c r="AG13" s="66"/>
      <c r="AH13" s="29"/>
      <c r="AI13" s="29"/>
      <c r="AJ13" s="29"/>
      <c r="AK13" s="91" t="s">
        <v>2</v>
      </c>
      <c r="AL13" s="92">
        <v>0.00189</v>
      </c>
      <c r="AM13" s="32"/>
      <c r="AN13" s="32"/>
    </row>
    <row r="14" spans="1:40" ht="12.75">
      <c r="A14" s="14">
        <f>IF($M$3&gt;1,"Not valid",700)</f>
        <v>700</v>
      </c>
      <c r="B14" s="50">
        <f>IF($B$4&gt;$B$3,"X",IF($B$3&lt;$B$4,"X",IF($A14="not valid","",($AA$12*(B$13/1000)^$AC$12*$U$2^($AE$12+$AE$13*(B$13/1000))*(($A14/1000)-$M$3*0.8)+$M$3*($AA$15*(B$13/1000)^$AC$15*$U$2^$AE$15)+$M$3*($AA$16*($I$3*(1-$I$4/100))^$AE$17*$U$3^$AE$16*(B$13/1000)^$AC$16))+$M$3*($AA$18*(B$13/1000)^$AC$18*$U$2^$AE$18))))</f>
        <v>614.2249496126196</v>
      </c>
      <c r="C14" s="21">
        <f>IF($B$4&gt;$B$3,"X",IF($B$3&lt;$B$4,"X",IF($A14="not valid","",($AA$12*(C$13/1000)^$AC$12*$U$2^($AE$12+$AE$13*(C$13/1000))*(($A14/1000)-$M$3*0.8)+$M$3*($AA$15*(C$13/1000)^$AC$15*$U$2^$AE$15)+$M$3*($AA$16*($I$3*(1-$I$4/100))^$AE$17*$U$3^$AE$16*(C$13/1000)^$AC$16))+$M$3*($AA$18*(C$13/1000)^$AC$18*$U$2^$AE$18))))</f>
        <v>754.3903162580632</v>
      </c>
      <c r="D14" s="21">
        <f>IF($B$4&gt;$B$3,"X",IF($B$3&lt;$B$4,"X",IF($A14="not valid","",($AA$12*(D$13/1000)^$AC$12*$U$2^($AE$12+$AE$13*(D$13/1000))*(($A14/1000)-$M$3*0.8)+$M$3*($AA$15*(D$13/1000)^$AC$15*$U$2^$AE$15)+$M$3*($AA$16*($I$3*(1-$I$4/100))^$AE$17*$U$3^$AE$16*(D$13/1000)^$AC$16))+$M$3*($AA$18*(D$13/1000)^$AC$18*$U$2^$AE$18))))</f>
        <v>887.4288151650985</v>
      </c>
      <c r="E14" s="51">
        <f>IF($B$4&gt;$B$3,"X",IF($B$3&lt;$B$4,"X",IF($A14="not valid","",($AA$12*(E$13/1000)^$AC$12*$U$2^($AE$12+$AE$13*(E$13/1000))*(($A14/1000)-$M$3*0.8)+$M$3*($AA$15*(E$13/1000)^$AC$15*$U$2^$AE$15)+$M$3*($AA$16*($I$3*(1-$I$4/100))^$AE$17*$U$3^$AE$16*(E$13/1000)^$AC$16))+$M$3*($AA$18*(E$13/1000)^$AC$18*$U$2^$AE$18))))</f>
        <v>1015.4261625476265</v>
      </c>
      <c r="F14" s="22"/>
      <c r="G14" s="14">
        <f>IF($M$3&gt;1,"",700)</f>
        <v>700</v>
      </c>
      <c r="H14" s="50">
        <f>IF($B$4&gt;$B$3,"X",IF($B$3&lt;$B$4,"X",IF($G14="","",($AH$12*(H$13/1000)^$AJ$12*$AE$8^($AL$12+$AL$13*(H$13/1000))*(($G14/1000)-$AK$8*0.8)+$AK$8*($AH$15*(H$13/1000)^$AJ$15*$AE$8^$AL$15)+$AK$8*($AH$16*($AD$9*(1-$I$4/100))^$AL$17*$AE$9^$AL$16*(H$13/1000)^$AJ$16))+$AK$8*($AH$18*(H$13/1000)^$AJ$18*$AE$8^$AL$18))))</f>
        <v>958.0278686354022</v>
      </c>
      <c r="I14" s="21">
        <f>IF($B$4&gt;$B$3,"X",IF($B$3&lt;$B$4,"X",IF($G14="","",($AH$12*(I$13/1000)^$AJ$12*$AE$8^($AL$12+$AL$13*(I$13/1000))*(($G14/1000)-$AK$8*0.8)+$AK$8*($AH$15*(I$13/1000)^$AJ$15*$AE$8^$AL$15)+$AK$8*($AH$16*($AD$9*(1-$I$4/100))^$AL$17*$AE$9^$AL$16*(I$13/1000)^$AJ$16))+$AK$8*($AH$18*(I$13/1000)^$AJ$18*$AE$8^$AL$18))))</f>
        <v>1150.6684759892125</v>
      </c>
      <c r="J14" s="21">
        <f>IF($B$4&gt;$B$3,"X",IF($B$3&lt;$B$4,"X",IF($G14="","",($AH$12*(J$13/1000)^$AJ$12*$AE$8^($AL$12+$AL$13*(J$13/1000))*(($G14/1000)-$AK$8*0.8)+$AK$8*($AH$15*(J$13/1000)^$AJ$15*$AE$8^$AL$15)+$AK$8*($AH$16*($AD$9*(1-$I$4/100))^$AL$17*$AE$9^$AL$16*(J$13/1000)^$AJ$16))+$AK$8*($AH$18*(J$13/1000)^$AJ$18*$AE$8^$AL$18))))</f>
        <v>1331.0773701277344</v>
      </c>
      <c r="K14" s="51">
        <f>IF($B$4&gt;$B$3,"X",IF($B$3&lt;$B$4,"X",IF($G14="","",($AH$12*(K$13/1000)^$AJ$12*$AE$8^($AL$12+$AL$13*(K$13/1000))*(($G14/1000)-$AK$8*0.8)+$AK$8*($AH$15*(K$13/1000)^$AJ$15*$AE$8^$AL$15)+$AK$8*($AH$16*($AD$9*(1-$I$4/100))^$AL$17*$AE$9^$AL$16*(K$13/1000)^$AJ$16))+$AK$8*($AH$18*(K$13/1000)^$AJ$18*$AE$8^$AL$18))))</f>
        <v>1502.8662406500325</v>
      </c>
      <c r="L14" s="22"/>
      <c r="M14" s="14">
        <f>IF($M$3&gt;1,"",700)</f>
        <v>700</v>
      </c>
      <c r="N14" s="50">
        <f>IF($B$4&gt;$B$3,"X",IF($B$3&lt;$B$4,"X",IF($M14="","",($AA$28*(N$13/1000)^$AC$28*$AH$8^($AE$28+$AE$29*(N$13/1000))*(($M14/1000)-$AN$8*0.8)+$AN$8*($AA$31*(N$13/1000)^$AC$31*$AH$8^$AE$31)+$AN$8*($AA$32*($AG$9*(1-$I$4/100))^$AE$33*$AH$9^$AE$32*(N$13/1000)^$AC$32))+$AN$8*($AA$34*(N$13/1000)^$AC$34*$AH$8^$AE$34))))</f>
        <v>1024.8595149386413</v>
      </c>
      <c r="O14" s="21">
        <f>IF($B$4&gt;$B$3,"X",IF($B$3&lt;$B$4,"X",IF($M14="","",($AA$28*(O$13/1000)^$AC$28*$AH$8^($AE$28+$AE$29*(O$13/1000))*(($M14/1000)-$AN$8*0.8)+$AN$8*($AA$31*(O$13/1000)^$AC$31*$AH$8^$AE$31)+$AN$8*($AA$32*($AG$9*(1-$I$4/100))^$AE$33*$AH$9^$AE$32*(O$13/1000)^$AC$32))+$AN$8*($AA$34*(O$13/1000)^$AC$34*$AH$8^$AE$34))))</f>
        <v>1248.367700542809</v>
      </c>
      <c r="P14" s="21">
        <f>IF($B$4&gt;$B$3,"X",IF($B$3&lt;$B$4,"X",IF($M14="","",($AA$28*(P$13/1000)^$AC$28*$AH$8^($AE$28+$AE$29*(P$13/1000))*(($M14/1000)-$AN$8*0.8)+$AN$8*($AA$31*(P$13/1000)^$AC$31*$AH$8^$AE$31)+$AN$8*($AA$32*($AG$9*(1-$I$4/100))^$AE$33*$AH$9^$AE$32*(P$13/1000)^$AC$32))+$AN$8*($AA$34*(P$13/1000)^$AC$34*$AH$8^$AE$34))))</f>
        <v>1459.0540952683716</v>
      </c>
      <c r="Q14" s="51">
        <f>IF($B$4&gt;$B$3,"X",IF($B$3&lt;$B$4,"X",IF($M14="","",($AA$28*(Q$13/1000)^$AC$28*$AH$8^($AE$28+$AE$29*(Q$13/1000))*(($M14/1000)-$AN$8*0.8)+$AN$8*($AA$31*(Q$13/1000)^$AC$31*$AH$8^$AE$31)+$AN$8*($AA$32*($AG$9*(1-$I$4/100))^$AE$33*$AH$9^$AE$32*(Q$13/1000)^$AC$32))+$AN$8*($AA$34*(Q$13/1000)^$AC$34*$AH$8^$AE$34))))</f>
        <v>1660.7083023775087</v>
      </c>
      <c r="R14" s="22"/>
      <c r="S14" s="14">
        <f>IF($M$3&gt;1,"",700)</f>
        <v>700</v>
      </c>
      <c r="T14" s="50">
        <f>IF($B$4&gt;$B$3,"X",IF($B$3&lt;$B$4,"X",IF($S14="","",($AH$28*(T$13/1000)^$AJ$28*$AH$8^($AL$28+$AL$29*(T$13/1000))*(($S14/1000)-$AN$8*0.8)+$AN$8*($AH$31*(T$13/1000)^$AJ$31*$AH$8^$AL$31)+$AN$8*($AH$32*($AG$9*(1-$I$4/100))^$AL$33*$AH$9^$AL$32*(T$13/1000)^$AJ$32))+$AN$8*($AH$34*(T$13/1000)^$AJ$34*$AH$8^$AL$34))))</f>
        <v>1290.789874203808</v>
      </c>
      <c r="U14" s="21">
        <f>IF($B$4&gt;$B$3,"X",IF($B$3&lt;$B$4,"X",IF($S14="","",($AH$28*(U$13/1000)^$AJ$28*$AH$8^($AL$28+$AL$29*(U$13/1000))*(($S14/1000)-$AN$8*0.8)+$AN$8*($AH$31*(U$13/1000)^$AJ$31*$AH$8^$AL$31)+$AN$8*($AH$32*($AG$9*(1-$I$4/100))^$AL$33*$AH$9^$AL$32*(U$13/1000)^$AJ$32))+$AN$8*($AH$34*(U$13/1000)^$AJ$34*$AH$8^$AL$34))))</f>
        <v>1597.9639504100955</v>
      </c>
      <c r="V14" s="21">
        <f>IF($B$4&gt;$B$3,"X",IF($B$3&lt;$B$4,"X",IF($S14="","",($AH$28*(V$13/1000)^$AJ$28*$AH$8^($AL$28+$AL$29*(V$13/1000))*(($S14/1000)-$AN$8*0.8)+$AN$8*($AH$31*(V$13/1000)^$AJ$31*$AH$8^$AL$31)+$AN$8*($AH$32*($AG$9*(1-$I$4/100))^$AL$33*$AH$9^$AL$32*(V$13/1000)^$AJ$32))+$AN$8*($AH$34*(V$13/1000)^$AJ$34*$AH$8^$AL$34))))</f>
        <v>1890.9800278776004</v>
      </c>
      <c r="W14" s="51">
        <f>IF($B$4&gt;$B$3,"X",IF($B$3&lt;$B$4,"X",IF($S14="","",($AH$28*(W$13/1000)^$AJ$28*$AH$8^($AL$28+$AL$29*(W$13/1000))*(($S14/1000)-$AN$8*0.8)+$AN$8*($AH$31*(W$13/1000)^$AJ$31*$AH$8^$AL$31)+$AN$8*($AH$32*($AG$9*(1-$I$4/100))^$AL$33*$AH$9^$AL$32*(W$13/1000)^$AJ$32))+$AN$8*($AH$34*(W$13/1000)^$AJ$34*$AH$8^$AL$34))))</f>
        <v>2173.8847244981944</v>
      </c>
      <c r="Z14" s="66" t="s">
        <v>46</v>
      </c>
      <c r="AA14" s="29"/>
      <c r="AB14" s="29"/>
      <c r="AC14" s="29"/>
      <c r="AD14" s="29"/>
      <c r="AE14" s="63"/>
      <c r="AF14" s="32"/>
      <c r="AG14" s="66" t="s">
        <v>26</v>
      </c>
      <c r="AH14" s="29"/>
      <c r="AI14" s="29"/>
      <c r="AJ14" s="29"/>
      <c r="AK14" s="29"/>
      <c r="AL14" s="63"/>
      <c r="AM14" s="32"/>
      <c r="AN14" s="32"/>
    </row>
    <row r="15" spans="1:40" ht="12.75">
      <c r="A15" s="14">
        <f>IF($M$3&gt;1,"Not valid",900)</f>
        <v>900</v>
      </c>
      <c r="B15" s="50">
        <f>IF($B$4&gt;$B$3,"X",IF($B$3&lt;$B$4,"X",IF($A15="not valid","",($AA$12*(B$13/1000)^$AC$12*$U$2^($AE$12+$AE$13*(B$13/1000))*(($A15/1000)-$M$3*0.8)+$M$3*($AA$15*(B$13/1000)^$AC$15*$U$2^$AE$15)+$M$3*($AA$16*($I$3*(1-$I$4/100))^$AE$17*$U$3^$AE$16*(B$13/1000)^$AC$16))+$M$3*($AA$18*(B$13/1000)^$AC$18*$U$2^$AE$18))))</f>
        <v>723.3389795765321</v>
      </c>
      <c r="C15" s="21">
        <f>IF($B$4&gt;$B$3,"X",IF($B$3&lt;$B$4,"X",IF($A15="not valid","",($AA$12*(C$13/1000)^$AC$12*$U$2^($AE$12+$AE$13*(C$13/1000))*(($A15/1000)-$M$3*0.8)+$M$3*($AA$15*(C$13/1000)^$AC$15*$U$2^$AE$15)+$M$3*($AA$16*($I$3*(1-$I$4/100))^$AE$17*$U$3^$AE$16*(C$13/1000)^$AC$16))+$M$3*($AA$18*(C$13/1000)^$AC$18*$U$2^$AE$18))))</f>
        <v>896.3145021629246</v>
      </c>
      <c r="D15" s="21">
        <f>IF($B$4&gt;$B$3,"X",IF($B$3&lt;$B$4,"X",IF($A15="not valid","",($AA$12*(D$13/1000)^$AC$12*$U$2^($AE$12+$AE$13*(D$13/1000))*(($A15/1000)-$M$3*0.8)+$M$3*($AA$15*(D$13/1000)^$AC$15*$U$2^$AE$15)+$M$3*($AA$16*($I$3*(1-$I$4/100))^$AE$17*$U$3^$AE$16*(D$13/1000)^$AC$16))+$M$3*($AA$18*(D$13/1000)^$AC$18*$U$2^$AE$18))))</f>
        <v>1060.7140485775676</v>
      </c>
      <c r="E15" s="51">
        <f>IF($B$4&gt;$B$3,"X",IF($B$3&lt;$B$4,"X",IF($A15="not valid","",($AA$12*(E$13/1000)^$AC$12*$U$2^($AE$12+$AE$13*(E$13/1000))*(($A15/1000)-$M$3*0.8)+$M$3*($AA$15*(E$13/1000)^$AC$15*$U$2^$AE$15)+$M$3*($AA$16*($I$3*(1-$I$4/100))^$AE$17*$U$3^$AE$16*(E$13/1000)^$AC$16))+$M$3*($AA$18*(E$13/1000)^$AC$18*$U$2^$AE$18))))</f>
        <v>1218.704412139535</v>
      </c>
      <c r="F15" s="22"/>
      <c r="G15" s="14">
        <f>IF($M$3&gt;1,"",900)</f>
        <v>900</v>
      </c>
      <c r="H15" s="50">
        <f>IF($B$4&gt;$B$3,"X",IF($B$3&lt;$B$4,"X",IF($G15="","",($AH$12*(H$13/1000)^$AJ$12*$AE$8^($AL$12+$AL$13*(H$13/1000))*(($G15/1000)-$AK$8*0.8)+$AK$8*($AH$15*(H$13/1000)^$AJ$15*$AE$8^$AL$15)+$AK$8*($AH$16*($AD$9*(1-$I$4/100))^$AL$17*$AE$9^$AL$16*(H$13/1000)^$AJ$16))+$AK$8*($AH$18*(H$13/1000)^$AJ$18*$AE$8^$AL$18))))</f>
        <v>1110.1442124975288</v>
      </c>
      <c r="I15" s="21">
        <f>IF($B$4&gt;$B$3,"X",IF($B$3&lt;$B$4,"X",IF($G15="","",($AH$12*(I$13/1000)^$AJ$12*$AE$8^($AL$12+$AL$13*(I$13/1000))*(($G15/1000)-$AK$8*0.8)+$AK$8*($AH$15*(I$13/1000)^$AJ$15*$AE$8^$AL$15)+$AK$8*($AH$16*($AD$9*(1-$I$4/100))^$AL$17*$AE$9^$AL$16*(I$13/1000)^$AJ$16))+$AK$8*($AH$18*(I$13/1000)^$AJ$18*$AE$8^$AL$18))))</f>
        <v>1342.9187654654725</v>
      </c>
      <c r="J15" s="21">
        <f>IF($B$4&gt;$B$3,"X",IF($B$3&lt;$B$4,"X",IF($G15="","",($AH$12*(J$13/1000)^$AJ$12*$AE$8^($AL$12+$AL$13*(J$13/1000))*(($G15/1000)-$AK$8*0.8)+$AK$8*($AH$15*(J$13/1000)^$AJ$15*$AE$8^$AL$15)+$AK$8*($AH$16*($AD$9*(1-$I$4/100))^$AL$17*$AE$9^$AL$16*(J$13/1000)^$AJ$16))+$AK$8*($AH$18*(J$13/1000)^$AJ$18*$AE$8^$AL$18))))</f>
        <v>1561.6547718985782</v>
      </c>
      <c r="K15" s="51">
        <f>IF($B$4&gt;$B$3,"X",IF($B$3&lt;$B$4,"X",IF($G15="","",($AH$12*(K$13/1000)^$AJ$12*$AE$8^($AL$12+$AL$13*(K$13/1000))*(($G15/1000)-$AK$8*0.8)+$AK$8*($AH$15*(K$13/1000)^$AJ$15*$AE$8^$AL$15)+$AK$8*($AH$16*($AD$9*(1-$I$4/100))^$AL$17*$AE$9^$AL$16*(K$13/1000)^$AJ$16))+$AK$8*($AH$18*(K$13/1000)^$AJ$18*$AE$8^$AL$18))))</f>
        <v>1770.4021407814207</v>
      </c>
      <c r="L15" s="22"/>
      <c r="M15" s="14">
        <f>IF($M$3&gt;1,"",900)</f>
        <v>900</v>
      </c>
      <c r="N15" s="50">
        <f>IF($B$4&gt;$B$3,"X",IF($B$3&lt;$B$4,"X",IF($M15="","",($AA$28*(N$13/1000)^$AC$28*$AH$8^($AE$28+$AE$29*(N$13/1000))*(($M15/1000)-$AN$8*0.8)+$AN$8*($AA$31*(N$13/1000)^$AC$31*$AH$8^$AE$31)+$AN$8*($AA$32*($AG$9*(1-$I$4/100))^$AE$33*$AH$9^$AE$32*(N$13/1000)^$AC$32))+$AN$8*($AA$34*(N$13/1000)^$AC$34*$AH$8^$AE$34))))</f>
        <v>1216.978341169715</v>
      </c>
      <c r="O15" s="21">
        <f>IF($B$4&gt;$B$3,"X",IF($B$3&lt;$B$4,"X",IF($M15="","",($AA$28*(O$13/1000)^$AC$28*$AH$8^($AE$28+$AE$29*(O$13/1000))*(($M15/1000)-$AN$8*0.8)+$AN$8*($AA$31*(O$13/1000)^$AC$31*$AH$8^$AE$31)+$AN$8*($AA$32*($AG$9*(1-$I$4/100))^$AE$33*$AH$9^$AE$32*(O$13/1000)^$AC$32))+$AN$8*($AA$34*(O$13/1000)^$AC$34*$AH$8^$AE$34))))</f>
        <v>1492.18100992555</v>
      </c>
      <c r="P15" s="21">
        <f>IF($B$4&gt;$B$3,"X",IF($B$3&lt;$B$4,"X",IF($M15="","",($AA$28*(P$13/1000)^$AC$28*$AH$8^($AE$28+$AE$29*(P$13/1000))*(($M15/1000)-$AN$8*0.8)+$AN$8*($AA$31*(P$13/1000)^$AC$31*$AH$8^$AE$31)+$AN$8*($AA$32*($AG$9*(1-$I$4/100))^$AE$33*$AH$9^$AE$32*(P$13/1000)^$AC$32))+$AN$8*($AA$34*(P$13/1000)^$AC$34*$AH$8^$AE$34))))</f>
        <v>1752.4151226703227</v>
      </c>
      <c r="Q15" s="51">
        <f>IF($B$4&gt;$B$3,"X",IF($B$3&lt;$B$4,"X",IF($M15="","",($AA$28*(Q$13/1000)^$AC$28*$AH$8^($AE$28+$AE$29*(Q$13/1000))*(($M15/1000)-$AN$8*0.8)+$AN$8*($AA$31*(Q$13/1000)^$AC$31*$AH$8^$AE$31)+$AN$8*($AA$32*($AG$9*(1-$I$4/100))^$AE$33*$AH$9^$AE$32*(Q$13/1000)^$AC$32))+$AN$8*($AA$34*(Q$13/1000)^$AC$34*$AH$8^$AE$34))))</f>
        <v>2001.987105850936</v>
      </c>
      <c r="R15" s="22"/>
      <c r="S15" s="14">
        <f>IF($M$3&gt;1,"",900)</f>
        <v>900</v>
      </c>
      <c r="T15" s="50">
        <f>IF($B$4&gt;$B$3,"X",IF($B$3&lt;$B$4,"X",IF($S15="","",($AH$28*(T$13/1000)^$AJ$28*$AH$8^($AL$28+$AL$29*(T$13/1000))*(($S15/1000)-$AN$8*0.8)+$AN$8*($AH$31*(T$13/1000)^$AJ$31*$AH$8^$AL$31)+$AN$8*($AH$32*($AG$9*(1-$I$4/100))^$AL$33*$AH$9^$AL$32*(T$13/1000)^$AJ$32))+$AN$8*($AH$34*(T$13/1000)^$AJ$34*$AH$8^$AL$34))))</f>
        <v>1559.9485805788897</v>
      </c>
      <c r="U15" s="21">
        <f>IF($B$4&gt;$B$3,"X",IF($B$3&lt;$B$4,"X",IF($S15="","",($AH$28*(U$13/1000)^$AJ$28*$AH$8^($AL$28+$AL$29*(U$13/1000))*(($S15/1000)-$AN$8*0.8)+$AN$8*($AH$31*(U$13/1000)^$AJ$31*$AH$8^$AL$31)+$AN$8*($AH$32*($AG$9*(1-$I$4/100))^$AL$33*$AH$9^$AL$32*(U$13/1000)^$AJ$32))+$AN$8*($AH$34*(U$13/1000)^$AJ$34*$AH$8^$AL$34))))</f>
        <v>1937.3720271448947</v>
      </c>
      <c r="V15" s="21">
        <f>IF($B$4&gt;$B$3,"X",IF($B$3&lt;$B$4,"X",IF($S15="","",($AH$28*(V$13/1000)^$AJ$28*$AH$8^($AL$28+$AL$29*(V$13/1000))*(($S15/1000)-$AN$8*0.8)+$AN$8*($AH$31*(V$13/1000)^$AJ$31*$AH$8^$AL$31)+$AN$8*($AH$32*($AG$9*(1-$I$4/100))^$AL$33*$AH$9^$AL$32*(V$13/1000)^$AJ$32))+$AN$8*($AH$34*(V$13/1000)^$AJ$34*$AH$8^$AL$34))))</f>
        <v>2297.2720694264353</v>
      </c>
      <c r="W15" s="51">
        <f>IF($B$4&gt;$B$3,"X",IF($B$3&lt;$B$4,"X",IF($S15="","",($AH$28*(W$13/1000)^$AJ$28*$AH$8^($AL$28+$AL$29*(W$13/1000))*(($S15/1000)-$AN$8*0.8)+$AN$8*($AH$31*(W$13/1000)^$AJ$31*$AH$8^$AL$31)+$AN$8*($AH$32*($AG$9*(1-$I$4/100))^$AL$33*$AH$9^$AL$32*(W$13/1000)^$AJ$32))+$AN$8*($AH$34*(W$13/1000)^$AJ$34*$AH$8^$AL$34))))</f>
        <v>2644.4945544035095</v>
      </c>
      <c r="Z15" s="89" t="s">
        <v>12</v>
      </c>
      <c r="AA15" s="29">
        <v>4.8444</v>
      </c>
      <c r="AB15" s="28" t="s">
        <v>3</v>
      </c>
      <c r="AC15" s="29">
        <v>0.89189</v>
      </c>
      <c r="AD15" s="28" t="s">
        <v>4</v>
      </c>
      <c r="AE15" s="63">
        <v>1.25776</v>
      </c>
      <c r="AF15" s="32"/>
      <c r="AG15" s="89" t="s">
        <v>12</v>
      </c>
      <c r="AH15" s="29">
        <v>5.1957</v>
      </c>
      <c r="AI15" s="28" t="s">
        <v>3</v>
      </c>
      <c r="AJ15" s="29">
        <v>0.83541</v>
      </c>
      <c r="AK15" s="28" t="s">
        <v>4</v>
      </c>
      <c r="AL15" s="63">
        <v>1.2729</v>
      </c>
      <c r="AM15" s="32"/>
      <c r="AN15" s="32"/>
    </row>
    <row r="16" spans="1:40" ht="12.75">
      <c r="A16" s="14">
        <f>IF($M$3&gt;1,"Not valid",1000)</f>
        <v>1000</v>
      </c>
      <c r="B16" s="50">
        <f>IF($B$4&gt;$B$3,"X",IF($B$3&lt;$B$4,"X",IF($A16="not valid","",($AA$12*(B$13/1000)^$AC$12*$U$2^($AE$12+$AE$13*(B$13/1000))*(($A16/1000)-$M$3*0.8)+$M$3*($AA$15*(B$13/1000)^$AC$15*$U$2^$AE$15)+$M$3*($AA$16*($I$3*(1-$I$4/100))^$AE$17*$U$3^$AE$16*(B$13/1000)^$AC$16))+$M$3*($AA$18*(B$13/1000)^$AC$18*$U$2^$AE$18))))</f>
        <v>777.8959945584883</v>
      </c>
      <c r="C16" s="21">
        <f>IF($B$4&gt;$B$3,"X",IF($B$3&lt;$B$4,"X",IF($A16="not valid","",($AA$12*(C$13/1000)^$AC$12*$U$2^($AE$12+$AE$13*(C$13/1000))*(($A16/1000)-$M$3*0.8)+$M$3*($AA$15*(C$13/1000)^$AC$15*$U$2^$AE$15)+$M$3*($AA$16*($I$3*(1-$I$4/100))^$AE$17*$U$3^$AE$16*(C$13/1000)^$AC$16))+$M$3*($AA$18*(C$13/1000)^$AC$18*$U$2^$AE$18))))</f>
        <v>967.2765951153551</v>
      </c>
      <c r="D16" s="21">
        <f>IF($B$4&gt;$B$3,"X",IF($B$3&lt;$B$4,"X",IF($A16="not valid","",($AA$12*(D$13/1000)^$AC$12*$U$2^($AE$12+$AE$13*(D$13/1000))*(($A16/1000)-$M$3*0.8)+$M$3*($AA$15*(D$13/1000)^$AC$15*$U$2^$AE$15)+$M$3*($AA$16*($I$3*(1-$I$4/100))^$AE$17*$U$3^$AE$16*(D$13/1000)^$AC$16))+$M$3*($AA$18*(D$13/1000)^$AC$18*$U$2^$AE$18))))</f>
        <v>1147.3566652838022</v>
      </c>
      <c r="E16" s="51">
        <f>IF($B$4&gt;$B$3,"X",IF($B$3&lt;$B$4,"X",IF($A16="not valid","",($AA$12*(E$13/1000)^$AC$12*$U$2^($AE$12+$AE$13*(E$13/1000))*(($A16/1000)-$M$3*0.8)+$M$3*($AA$15*(E$13/1000)^$AC$15*$U$2^$AE$15)+$M$3*($AA$16*($I$3*(1-$I$4/100))^$AE$17*$U$3^$AE$16*(E$13/1000)^$AC$16))+$M$3*($AA$18*(E$13/1000)^$AC$18*$U$2^$AE$18))))</f>
        <v>1320.3435369354893</v>
      </c>
      <c r="F16" s="22"/>
      <c r="G16" s="14">
        <f>IF($M$3&gt;1,"",1000)</f>
        <v>1000</v>
      </c>
      <c r="H16" s="50">
        <f>IF($B$4&gt;$B$3,"X",IF($B$3&lt;$B$4,"X",IF($G16="","",($AH$12*(H$13/1000)^$AJ$12*$AE$8^($AL$12+$AL$13*(H$13/1000))*(($G16/1000)-$AK$8*0.8)+$AK$8*($AH$15*(H$13/1000)^$AJ$15*$AE$8^$AL$15)+$AK$8*($AH$16*($AD$9*(1-$I$4/100))^$AL$17*$AE$9^$AL$16*(H$13/1000)^$AJ$16))+$AK$8*($AH$18*(H$13/1000)^$AJ$18*$AE$8^$AL$18))))</f>
        <v>1186.202384428592</v>
      </c>
      <c r="I16" s="21">
        <f>IF($B$4&gt;$B$3,"X",IF($B$3&lt;$B$4,"X",IF($G16="","",($AH$12*(I$13/1000)^$AJ$12*$AE$8^($AL$12+$AL$13*(I$13/1000))*(($G16/1000)-$AK$8*0.8)+$AK$8*($AH$15*(I$13/1000)^$AJ$15*$AE$8^$AL$15)+$AK$8*($AH$16*($AD$9*(1-$I$4/100))^$AL$17*$AE$9^$AL$16*(I$13/1000)^$AJ$16))+$AK$8*($AH$18*(I$13/1000)^$AJ$18*$AE$8^$AL$18))))</f>
        <v>1439.0439102036023</v>
      </c>
      <c r="J16" s="21">
        <f>IF($B$4&gt;$B$3,"X",IF($B$3&lt;$B$4,"X",IF($G16="","",($AH$12*(J$13/1000)^$AJ$12*$AE$8^($AL$12+$AL$13*(J$13/1000))*(($G16/1000)-$AK$8*0.8)+$AK$8*($AH$15*(J$13/1000)^$AJ$15*$AE$8^$AL$15)+$AK$8*($AH$16*($AD$9*(1-$I$4/100))^$AL$17*$AE$9^$AL$16*(J$13/1000)^$AJ$16))+$AK$8*($AH$18*(J$13/1000)^$AJ$18*$AE$8^$AL$18))))</f>
        <v>1676.9434727840005</v>
      </c>
      <c r="K16" s="51">
        <f>IF($B$4&gt;$B$3,"X",IF($B$3&lt;$B$4,"X",IF($G16="","",($AH$12*(K$13/1000)^$AJ$12*$AE$8^($AL$12+$AL$13*(K$13/1000))*(($G16/1000)-$AK$8*0.8)+$AK$8*($AH$15*(K$13/1000)^$AJ$15*$AE$8^$AL$15)+$AK$8*($AH$16*($AD$9*(1-$I$4/100))^$AL$17*$AE$9^$AL$16*(K$13/1000)^$AJ$16))+$AK$8*($AH$18*(K$13/1000)^$AJ$18*$AE$8^$AL$18))))</f>
        <v>1904.1700908471148</v>
      </c>
      <c r="L16" s="22"/>
      <c r="M16" s="14">
        <f>IF($M$3&gt;1,"",1000)</f>
        <v>1000</v>
      </c>
      <c r="N16" s="50">
        <f>IF($B$4&gt;$B$3,"X",IF($B$3&lt;$B$4,"X",IF($M16="","",($AA$28*(N$13/1000)^$AC$28*$AH$8^($AE$28+$AE$29*(N$13/1000))*(($M16/1000)-$AN$8*0.8)+$AN$8*($AA$31*(N$13/1000)^$AC$31*$AH$8^$AE$31)+$AN$8*($AA$32*($AG$9*(1-$I$4/100))^$AE$33*$AH$9^$AE$32*(N$13/1000)^$AC$32))+$AN$8*($AA$34*(N$13/1000)^$AC$34*$AH$8^$AE$34))))</f>
        <v>1313.0377542852518</v>
      </c>
      <c r="O16" s="21">
        <f>IF($B$4&gt;$B$3,"X",IF($B$3&lt;$B$4,"X",IF($M16="","",($AA$28*(O$13/1000)^$AC$28*$AH$8^($AE$28+$AE$29*(O$13/1000))*(($M16/1000)-$AN$8*0.8)+$AN$8*($AA$31*(O$13/1000)^$AC$31*$AH$8^$AE$31)+$AN$8*($AA$32*($AG$9*(1-$I$4/100))^$AE$33*$AH$9^$AE$32*(O$13/1000)^$AC$32))+$AN$8*($AA$34*(O$13/1000)^$AC$34*$AH$8^$AE$34))))</f>
        <v>1614.0876646169204</v>
      </c>
      <c r="P16" s="21">
        <f>IF($B$4&gt;$B$3,"X",IF($B$3&lt;$B$4,"X",IF($M16="","",($AA$28*(P$13/1000)^$AC$28*$AH$8^($AE$28+$AE$29*(P$13/1000))*(($M16/1000)-$AN$8*0.8)+$AN$8*($AA$31*(P$13/1000)^$AC$31*$AH$8^$AE$31)+$AN$8*($AA$32*($AG$9*(1-$I$4/100))^$AE$33*$AH$9^$AE$32*(P$13/1000)^$AC$32))+$AN$8*($AA$34*(P$13/1000)^$AC$34*$AH$8^$AE$34))))</f>
        <v>1899.095636371298</v>
      </c>
      <c r="Q16" s="51">
        <f>IF($B$4&gt;$B$3,"X",IF($B$3&lt;$B$4,"X",IF($M16="","",($AA$28*(Q$13/1000)^$AC$28*$AH$8^($AE$28+$AE$29*(Q$13/1000))*(($M16/1000)-$AN$8*0.8)+$AN$8*($AA$31*(Q$13/1000)^$AC$31*$AH$8^$AE$31)+$AN$8*($AA$32*($AG$9*(1-$I$4/100))^$AE$33*$AH$9^$AE$32*(Q$13/1000)^$AC$32))+$AN$8*($AA$34*(Q$13/1000)^$AC$34*$AH$8^$AE$34))))</f>
        <v>2172.6265075876495</v>
      </c>
      <c r="R16" s="22"/>
      <c r="S16" s="14">
        <f>IF($M$3&gt;1,"",1000)</f>
        <v>1000</v>
      </c>
      <c r="T16" s="50">
        <f>IF($B$4&gt;$B$3,"X",IF($B$3&lt;$B$4,"X",IF($S16="","",($AH$28*(T$13/1000)^$AJ$28*$AH$8^($AL$28+$AL$29*(T$13/1000))*(($S16/1000)-$AN$8*0.8)+$AN$8*($AH$31*(T$13/1000)^$AJ$31*$AH$8^$AL$31)+$AN$8*($AH$32*($AG$9*(1-$I$4/100))^$AL$33*$AH$9^$AL$32*(T$13/1000)^$AJ$32))+$AN$8*($AH$34*(T$13/1000)^$AJ$34*$AH$8^$AL$34))))</f>
        <v>1694.5279337664306</v>
      </c>
      <c r="U16" s="21">
        <f>IF($B$4&gt;$B$3,"X",IF($B$3&lt;$B$4,"X",IF($S16="","",($AH$28*(U$13/1000)^$AJ$28*$AH$8^($AL$28+$AL$29*(U$13/1000))*(($S16/1000)-$AN$8*0.8)+$AN$8*($AH$31*(U$13/1000)^$AJ$31*$AH$8^$AL$31)+$AN$8*($AH$32*($AG$9*(1-$I$4/100))^$AL$33*$AH$9^$AL$32*(U$13/1000)^$AJ$32))+$AN$8*($AH$34*(U$13/1000)^$AJ$34*$AH$8^$AL$34))))</f>
        <v>2107.076065512294</v>
      </c>
      <c r="V16" s="21">
        <f>IF($B$4&gt;$B$3,"X",IF($B$3&lt;$B$4,"X",IF($S16="","",($AH$28*(V$13/1000)^$AJ$28*$AH$8^($AL$28+$AL$29*(V$13/1000))*(($S16/1000)-$AN$8*0.8)+$AN$8*($AH$31*(V$13/1000)^$AJ$31*$AH$8^$AL$31)+$AN$8*($AH$32*($AG$9*(1-$I$4/100))^$AL$33*$AH$9^$AL$32*(V$13/1000)^$AJ$32))+$AN$8*($AH$34*(V$13/1000)^$AJ$34*$AH$8^$AL$34))))</f>
        <v>2500.418090200853</v>
      </c>
      <c r="W16" s="51">
        <f>IF($B$4&gt;$B$3,"X",IF($B$3&lt;$B$4,"X",IF($S16="","",($AH$28*(W$13/1000)^$AJ$28*$AH$8^($AL$28+$AL$29*(W$13/1000))*(($S16/1000)-$AN$8*0.8)+$AN$8*($AH$31*(W$13/1000)^$AJ$31*$AH$8^$AL$31)+$AN$8*($AH$32*($AG$9*(1-$I$4/100))^$AL$33*$AH$9^$AL$32*(W$13/1000)^$AJ$32))+$AN$8*($AH$34*(W$13/1000)^$AJ$34*$AH$8^$AL$34))))</f>
        <v>2879.799469356167</v>
      </c>
      <c r="Z16" s="89" t="s">
        <v>6</v>
      </c>
      <c r="AA16" s="29">
        <v>4.6906</v>
      </c>
      <c r="AB16" s="28" t="s">
        <v>10</v>
      </c>
      <c r="AC16" s="29">
        <v>0.50015</v>
      </c>
      <c r="AD16" s="28" t="s">
        <v>2</v>
      </c>
      <c r="AE16" s="63">
        <v>0.70514</v>
      </c>
      <c r="AF16" s="32"/>
      <c r="AG16" s="89" t="s">
        <v>6</v>
      </c>
      <c r="AH16" s="29">
        <v>2.67394</v>
      </c>
      <c r="AI16" s="28" t="s">
        <v>10</v>
      </c>
      <c r="AJ16" s="29">
        <v>0.45879</v>
      </c>
      <c r="AK16" s="28" t="s">
        <v>2</v>
      </c>
      <c r="AL16" s="63">
        <v>0.89301</v>
      </c>
      <c r="AM16" s="32"/>
      <c r="AN16" s="32"/>
    </row>
    <row r="17" spans="1:40" ht="12.75">
      <c r="A17" s="14">
        <f>IF($M$3&gt;2,"Not valid",1200)</f>
        <v>1200</v>
      </c>
      <c r="B17" s="50">
        <f>IF($B$4&gt;$B$3,"X",IF($B$3&lt;$B$4,"X",IF($A17="not valid","",($AA$12*(B$13/1000)^$AC$12*$U$2^($AE$12+$AE$13*(B$13/1000))*(($A17/1000)-$M$3*0.8)+$M$3*($AA$15*(B$13/1000)^$AC$15*$U$2^$AE$15)+$M$3*($AA$16*($I$3*(1-$I$4/100))^$AE$17*$U$3^$AE$16*(B$13/1000)^$AC$16))+$M$3*($AA$18*(B$13/1000)^$AC$18*$U$2^$AE$18))))</f>
        <v>887.0100245224006</v>
      </c>
      <c r="C17" s="21">
        <f>IF($B$4&gt;$B$3,"X",IF($B$3&lt;$B$4,"X",IF($A17="not valid","",($AA$12*(C$13/1000)^$AC$12*$U$2^($AE$12+$AE$13*(C$13/1000))*(($A17/1000)-$M$3*0.8)+$M$3*($AA$15*(C$13/1000)^$AC$15*$U$2^$AE$15)+$M$3*($AA$16*($I$3*(1-$I$4/100))^$AE$17*$U$3^$AE$16*(C$13/1000)^$AC$16))+$M$3*($AA$18*(C$13/1000)^$AC$18*$U$2^$AE$18))))</f>
        <v>1109.2007810202163</v>
      </c>
      <c r="D17" s="21">
        <f>IF($B$4&gt;$B$3,"X",IF($B$3&lt;$B$4,"X",IF($A17="not valid","",($AA$12*(D$13/1000)^$AC$12*$U$2^($AE$12+$AE$13*(D$13/1000))*(($A17/1000)-$M$3*0.8)+$M$3*($AA$15*(D$13/1000)^$AC$15*$U$2^$AE$15)+$M$3*($AA$16*($I$3*(1-$I$4/100))^$AE$17*$U$3^$AE$16*(D$13/1000)^$AC$16))+$M$3*($AA$18*(D$13/1000)^$AC$18*$U$2^$AE$18))))</f>
        <v>1320.6418986962708</v>
      </c>
      <c r="E17" s="51">
        <f>IF($B$4&gt;$B$3,"X",IF($B$3&lt;$B$4,"X",IF($A17="not valid","",($AA$12*(E$13/1000)^$AC$12*$U$2^($AE$12+$AE$13*(E$13/1000))*(($A17/1000)-$M$3*0.8)+$M$3*($AA$15*(E$13/1000)^$AC$15*$U$2^$AE$15)+$M$3*($AA$16*($I$3*(1-$I$4/100))^$AE$17*$U$3^$AE$16*(E$13/1000)^$AC$16))+$M$3*($AA$18*(E$13/1000)^$AC$18*$U$2^$AE$18))))</f>
        <v>1523.6217865273977</v>
      </c>
      <c r="F17" s="22"/>
      <c r="G17" s="14">
        <f>IF($M$3&gt;2,"",1200)</f>
        <v>1200</v>
      </c>
      <c r="H17" s="50">
        <f>IF($B$4&gt;$B$3,"X",IF($B$3&lt;$B$4,"X",IF($G17="","",($AH$12*(H$13/1000)^$AJ$12*$AE$8^($AL$12+$AL$13*(H$13/1000))*(($G17/1000)-$AK$8*0.8)+$AK$8*($AH$15*(H$13/1000)^$AJ$15*$AE$8^$AL$15)+$AK$8*($AH$16*($AD$9*(1-$I$4/100))^$AL$17*$AE$9^$AL$16*(H$13/1000)^$AJ$16))+$AK$8*($AH$18*(H$13/1000)^$AJ$18*$AE$8^$AL$18))))</f>
        <v>1338.3187282907186</v>
      </c>
      <c r="I17" s="21">
        <f>IF($B$4&gt;$B$3,"X",IF($B$3&lt;$B$4,"X",IF($G17="","",($AH$12*(I$13/1000)^$AJ$12*$AE$8^($AL$12+$AL$13*(I$13/1000))*(($G17/1000)-$AK$8*0.8)+$AK$8*($AH$15*(I$13/1000)^$AJ$15*$AE$8^$AL$15)+$AK$8*($AH$16*($AD$9*(1-$I$4/100))^$AL$17*$AE$9^$AL$16*(I$13/1000)^$AJ$16))+$AK$8*($AH$18*(I$13/1000)^$AJ$18*$AE$8^$AL$18))))</f>
        <v>1631.2941996798622</v>
      </c>
      <c r="J17" s="21">
        <f>IF($B$4&gt;$B$3,"X",IF($B$3&lt;$B$4,"X",IF($G17="","",($AH$12*(J$13/1000)^$AJ$12*$AE$8^($AL$12+$AL$13*(J$13/1000))*(($G17/1000)-$AK$8*0.8)+$AK$8*($AH$15*(J$13/1000)^$AJ$15*$AE$8^$AL$15)+$AK$8*($AH$16*($AD$9*(1-$I$4/100))^$AL$17*$AE$9^$AL$16*(J$13/1000)^$AJ$16))+$AK$8*($AH$18*(J$13/1000)^$AJ$18*$AE$8^$AL$18))))</f>
        <v>1907.520874554844</v>
      </c>
      <c r="K17" s="51">
        <f>IF($B$4&gt;$B$3,"X",IF($B$3&lt;$B$4,"X",IF($G17="","",($AH$12*(K$13/1000)^$AJ$12*$AE$8^($AL$12+$AL$13*(K$13/1000))*(($G17/1000)-$AK$8*0.8)+$AK$8*($AH$15*(K$13/1000)^$AJ$15*$AE$8^$AL$15)+$AK$8*($AH$16*($AD$9*(1-$I$4/100))^$AL$17*$AE$9^$AL$16*(K$13/1000)^$AJ$16))+$AK$8*($AH$18*(K$13/1000)^$AJ$18*$AE$8^$AL$18))))</f>
        <v>2171.705990978503</v>
      </c>
      <c r="L17" s="22"/>
      <c r="M17" s="14">
        <f>IF($M$3&gt;2,"",1200)</f>
        <v>1200</v>
      </c>
      <c r="N17" s="50">
        <f>IF($B$4&gt;$B$3,"X",IF($B$3&lt;$B$4,"X",IF($M17="","",($AA$28*(N$13/1000)^$AC$28*$AH$8^($AE$28+$AE$29*(N$13/1000))*(($M17/1000)-$AN$8*0.8)+$AN$8*($AA$31*(N$13/1000)^$AC$31*$AH$8^$AE$31)+$AN$8*($AA$32*($AG$9*(1-$I$4/100))^$AE$33*$AH$9^$AE$32*(N$13/1000)^$AC$32))+$AN$8*($AA$34*(N$13/1000)^$AC$34*$AH$8^$AE$34))))</f>
        <v>1505.1565805163254</v>
      </c>
      <c r="O17" s="21">
        <f>IF($B$4&gt;$B$3,"X",IF($B$3&lt;$B$4,"X",IF($M17="","",($AA$28*(O$13/1000)^$AC$28*$AH$8^($AE$28+$AE$29*(O$13/1000))*(($M17/1000)-$AN$8*0.8)+$AN$8*($AA$31*(O$13/1000)^$AC$31*$AH$8^$AE$31)+$AN$8*($AA$32*($AG$9*(1-$I$4/100))^$AE$33*$AH$9^$AE$32*(O$13/1000)^$AC$32))+$AN$8*($AA$34*(O$13/1000)^$AC$34*$AH$8^$AE$34))))</f>
        <v>1857.9009739996613</v>
      </c>
      <c r="P17" s="21">
        <f>IF($B$4&gt;$B$3,"X",IF($B$3&lt;$B$4,"X",IF($M17="","",($AA$28*(P$13/1000)^$AC$28*$AH$8^($AE$28+$AE$29*(P$13/1000))*(($M17/1000)-$AN$8*0.8)+$AN$8*($AA$31*(P$13/1000)^$AC$31*$AH$8^$AE$31)+$AN$8*($AA$32*($AG$9*(1-$I$4/100))^$AE$33*$AH$9^$AE$32*(P$13/1000)^$AC$32))+$AN$8*($AA$34*(P$13/1000)^$AC$34*$AH$8^$AE$34))))</f>
        <v>2192.4566637732487</v>
      </c>
      <c r="Q17" s="51">
        <f>IF($B$4&gt;$B$3,"X",IF($B$3&lt;$B$4,"X",IF($M17="","",($AA$28*(Q$13/1000)^$AC$28*$AH$8^($AE$28+$AE$29*(Q$13/1000))*(($M17/1000)-$AN$8*0.8)+$AN$8*($AA$31*(Q$13/1000)^$AC$31*$AH$8^$AE$31)+$AN$8*($AA$32*($AG$9*(1-$I$4/100))^$AE$33*$AH$9^$AE$32*(Q$13/1000)^$AC$32))+$AN$8*($AA$34*(Q$13/1000)^$AC$34*$AH$8^$AE$34))))</f>
        <v>2513.9053110610766</v>
      </c>
      <c r="R17" s="22"/>
      <c r="S17" s="14">
        <f>IF($M$3&gt;2,"",1200)</f>
        <v>1200</v>
      </c>
      <c r="T17" s="50">
        <f>IF($B$4&gt;$B$3,"X",IF($B$3&lt;$B$4,"X",IF($S17="","",($AH$28*(T$13/1000)^$AJ$28*$AH$8^($AL$28+$AL$29*(T$13/1000))*(($S17/1000)-$AN$8*0.8)+$AN$8*($AH$31*(T$13/1000)^$AJ$31*$AH$8^$AL$31)+$AN$8*($AH$32*($AG$9*(1-$I$4/100))^$AL$33*$AH$9^$AL$32*(T$13/1000)^$AJ$32))+$AN$8*($AH$34*(T$13/1000)^$AJ$34*$AH$8^$AL$34))))</f>
        <v>1963.6866401415123</v>
      </c>
      <c r="U17" s="21">
        <f>IF($B$4&gt;$B$3,"X",IF($B$3&lt;$B$4,"X",IF($S17="","",($AH$28*(U$13/1000)^$AJ$28*$AH$8^($AL$28+$AL$29*(U$13/1000))*(($S17/1000)-$AN$8*0.8)+$AN$8*($AH$31*(U$13/1000)^$AJ$31*$AH$8^$AL$31)+$AN$8*($AH$32*($AG$9*(1-$I$4/100))^$AL$33*$AH$9^$AL$32*(U$13/1000)^$AJ$32))+$AN$8*($AH$34*(U$13/1000)^$AJ$34*$AH$8^$AL$34))))</f>
        <v>2446.484142247093</v>
      </c>
      <c r="V17" s="21">
        <f>IF($B$4&gt;$B$3,"X",IF($B$3&lt;$B$4,"X",IF($S17="","",($AH$28*(V$13/1000)^$AJ$28*$AH$8^($AL$28+$AL$29*(V$13/1000))*(($S17/1000)-$AN$8*0.8)+$AN$8*($AH$31*(V$13/1000)^$AJ$31*$AH$8^$AL$31)+$AN$8*($AH$32*($AG$9*(1-$I$4/100))^$AL$33*$AH$9^$AL$32*(V$13/1000)^$AJ$32))+$AN$8*($AH$34*(V$13/1000)^$AJ$34*$AH$8^$AL$34))))</f>
        <v>2906.7101317496877</v>
      </c>
      <c r="W17" s="51">
        <f>IF($B$4&gt;$B$3,"X",IF($B$3&lt;$B$4,"X",IF($S17="","",($AH$28*(W$13/1000)^$AJ$28*$AH$8^($AL$28+$AL$29*(W$13/1000))*(($S17/1000)-$AN$8*0.8)+$AN$8*($AH$31*(W$13/1000)^$AJ$31*$AH$8^$AL$31)+$AN$8*($AH$32*($AG$9*(1-$I$4/100))^$AL$33*$AH$9^$AL$32*(W$13/1000)^$AJ$32))+$AN$8*($AH$34*(W$13/1000)^$AJ$34*$AH$8^$AL$34))))</f>
        <v>3350.409299261482</v>
      </c>
      <c r="Z17" s="89"/>
      <c r="AA17" s="29"/>
      <c r="AB17" s="28"/>
      <c r="AC17" s="29"/>
      <c r="AD17" s="28" t="s">
        <v>7</v>
      </c>
      <c r="AE17" s="63">
        <v>0.58338</v>
      </c>
      <c r="AF17" s="32"/>
      <c r="AG17" s="89"/>
      <c r="AH17" s="29"/>
      <c r="AI17" s="29"/>
      <c r="AJ17" s="29"/>
      <c r="AK17" s="28" t="s">
        <v>7</v>
      </c>
      <c r="AL17" s="63">
        <v>0.71151</v>
      </c>
      <c r="AM17" s="32"/>
      <c r="AN17" s="32"/>
    </row>
    <row r="18" spans="1:40" ht="12.75">
      <c r="A18" s="14">
        <v>1300</v>
      </c>
      <c r="B18" s="50">
        <f>IF($B$4&gt;$B$3,"X",IF($B$3&lt;$B$4,"X",IF($A18="not valid","",($AA$12*(B$13/1000)^$AC$12*$U$2^($AE$12+$AE$13*(B$13/1000))*(($A18/1000)-$M$3*0.8)+$M$3*($AA$15*(B$13/1000)^$AC$15*$U$2^$AE$15)+$M$3*($AA$16*($I$3*(1-$I$4/100))^$AE$17*$U$3^$AE$16*(B$13/1000)^$AC$16))+$M$3*($AA$18*(B$13/1000)^$AC$18*$U$2^$AE$18))))</f>
        <v>941.5670395043568</v>
      </c>
      <c r="C18" s="21">
        <f>IF($B$4&gt;$B$3,"X",IF($B$3&lt;$B$4,"X",IF($A18="not valid","",($AA$12*(C$13/1000)^$AC$12*$U$2^($AE$12+$AE$13*(C$13/1000))*(($A18/1000)-$M$3*0.8)+$M$3*($AA$15*(C$13/1000)^$AC$15*$U$2^$AE$15)+$M$3*($AA$16*($I$3*(1-$I$4/100))^$AE$17*$U$3^$AE$16*(C$13/1000)^$AC$16))+$M$3*($AA$18*(C$13/1000)^$AC$18*$U$2^$AE$18))))</f>
        <v>1180.162873972647</v>
      </c>
      <c r="D18" s="21">
        <f>IF($B$4&gt;$B$3,"X",IF($B$3&lt;$B$4,"X",IF($A18="not valid","",($AA$12*(D$13/1000)^$AC$12*$U$2^($AE$12+$AE$13*(D$13/1000))*(($A18/1000)-$M$3*0.8)+$M$3*($AA$15*(D$13/1000)^$AC$15*$U$2^$AE$15)+$M$3*($AA$16*($I$3*(1-$I$4/100))^$AE$17*$U$3^$AE$16*(D$13/1000)^$AC$16))+$M$3*($AA$18*(D$13/1000)^$AC$18*$U$2^$AE$18))))</f>
        <v>1407.2845154025056</v>
      </c>
      <c r="E18" s="51">
        <f>IF($B$4&gt;$B$3,"X",IF($B$3&lt;$B$4,"X",IF($A18="not valid","",($AA$12*(E$13/1000)^$AC$12*$U$2^($AE$12+$AE$13*(E$13/1000))*(($A18/1000)-$M$3*0.8)+$M$3*($AA$15*(E$13/1000)^$AC$15*$U$2^$AE$15)+$M$3*($AA$16*($I$3*(1-$I$4/100))^$AE$17*$U$3^$AE$16*(E$13/1000)^$AC$16))+$M$3*($AA$18*(E$13/1000)^$AC$18*$U$2^$AE$18))))</f>
        <v>1625.260911323352</v>
      </c>
      <c r="F18" s="22"/>
      <c r="G18" s="14">
        <v>1300</v>
      </c>
      <c r="H18" s="50">
        <f>IF($B$4&gt;$B$3,"X",IF($B$3&lt;$B$4,"X",IF($G18="","",($AH$12*(H$13/1000)^$AJ$12*$AE$8^($AL$12+$AL$13*(H$13/1000))*(($G18/1000)-$AK$8*0.8)+$AK$8*($AH$15*(H$13/1000)^$AJ$15*$AE$8^$AL$15)+$AK$8*($AH$16*($AD$9*(1-$I$4/100))^$AL$17*$AE$9^$AL$16*(H$13/1000)^$AJ$16))+$AK$8*($AH$18*(H$13/1000)^$AJ$18*$AE$8^$AL$18))))</f>
        <v>1414.3769002217819</v>
      </c>
      <c r="I18" s="21">
        <f>IF($B$4&gt;$B$3,"X",IF($B$3&lt;$B$4,"X",IF($G18="","",($AH$12*(I$13/1000)^$AJ$12*$AE$8^($AL$12+$AL$13*(I$13/1000))*(($G18/1000)-$AK$8*0.8)+$AK$8*($AH$15*(I$13/1000)^$AJ$15*$AE$8^$AL$15)+$AK$8*($AH$16*($AD$9*(1-$I$4/100))^$AL$17*$AE$9^$AL$16*(I$13/1000)^$AJ$16))+$AK$8*($AH$18*(I$13/1000)^$AJ$18*$AE$8^$AL$18))))</f>
        <v>1727.4193444179923</v>
      </c>
      <c r="J18" s="21">
        <f>IF($B$4&gt;$B$3,"X",IF($B$3&lt;$B$4,"X",IF($G18="","",($AH$12*(J$13/1000)^$AJ$12*$AE$8^($AL$12+$AL$13*(J$13/1000))*(($G18/1000)-$AK$8*0.8)+$AK$8*($AH$15*(J$13/1000)^$AJ$15*$AE$8^$AL$15)+$AK$8*($AH$16*($AD$9*(1-$I$4/100))^$AL$17*$AE$9^$AL$16*(J$13/1000)^$AJ$16))+$AK$8*($AH$18*(J$13/1000)^$AJ$18*$AE$8^$AL$18))))</f>
        <v>2022.8095754402664</v>
      </c>
      <c r="K18" s="51">
        <f>IF($B$4&gt;$B$3,"X",IF($B$3&lt;$B$4,"X",IF($G18="","",($AH$12*(K$13/1000)^$AJ$12*$AE$8^($AL$12+$AL$13*(K$13/1000))*(($G18/1000)-$AK$8*0.8)+$AK$8*($AH$15*(K$13/1000)^$AJ$15*$AE$8^$AL$15)+$AK$8*($AH$16*($AD$9*(1-$I$4/100))^$AL$17*$AE$9^$AL$16*(K$13/1000)^$AJ$16))+$AK$8*($AH$18*(K$13/1000)^$AJ$18*$AE$8^$AL$18))))</f>
        <v>2305.473941044197</v>
      </c>
      <c r="L18" s="22"/>
      <c r="M18" s="14">
        <v>1300</v>
      </c>
      <c r="N18" s="50">
        <f>IF($B$4&gt;$B$3,"X",IF($B$3&lt;$B$4,"X",IF($M18="","",($AA$28*(N$13/1000)^$AC$28*$AH$8^($AE$28+$AE$29*(N$13/1000))*(($M18/1000)-$AN$8*0.8)+$AN$8*($AA$31*(N$13/1000)^$AC$31*$AH$8^$AE$31)+$AN$8*($AA$32*($AG$9*(1-$I$4/100))^$AE$33*$AH$9^$AE$32*(N$13/1000)^$AC$32))+$AN$8*($AA$34*(N$13/1000)^$AC$34*$AH$8^$AE$34))))</f>
        <v>1601.2159936318624</v>
      </c>
      <c r="O18" s="21">
        <f>IF($B$4&gt;$B$3,"X",IF($B$3&lt;$B$4,"X",IF($M18="","",($AA$28*(O$13/1000)^$AC$28*$AH$8^($AE$28+$AE$29*(O$13/1000))*(($M18/1000)-$AN$8*0.8)+$AN$8*($AA$31*(O$13/1000)^$AC$31*$AH$8^$AE$31)+$AN$8*($AA$32*($AG$9*(1-$I$4/100))^$AE$33*$AH$9^$AE$32*(O$13/1000)^$AC$32))+$AN$8*($AA$34*(O$13/1000)^$AC$34*$AH$8^$AE$34))))</f>
        <v>1979.8076286910318</v>
      </c>
      <c r="P18" s="21">
        <f>IF($B$4&gt;$B$3,"X",IF($B$3&lt;$B$4,"X",IF($M18="","",($AA$28*(P$13/1000)^$AC$28*$AH$8^($AE$28+$AE$29*(P$13/1000))*(($M18/1000)-$AN$8*0.8)+$AN$8*($AA$31*(P$13/1000)^$AC$31*$AH$8^$AE$31)+$AN$8*($AA$32*($AG$9*(1-$I$4/100))^$AE$33*$AH$9^$AE$32*(P$13/1000)^$AC$32))+$AN$8*($AA$34*(P$13/1000)^$AC$34*$AH$8^$AE$34))))</f>
        <v>2339.1371774742242</v>
      </c>
      <c r="Q18" s="51">
        <f>IF($B$4&gt;$B$3,"X",IF($B$3&lt;$B$4,"X",IF($M18="","",($AA$28*(Q$13/1000)^$AC$28*$AH$8^($AE$28+$AE$29*(Q$13/1000))*(($M18/1000)-$AN$8*0.8)+$AN$8*($AA$31*(Q$13/1000)^$AC$31*$AH$8^$AE$31)+$AN$8*($AA$32*($AG$9*(1-$I$4/100))^$AE$33*$AH$9^$AE$32*(Q$13/1000)^$AC$32))+$AN$8*($AA$34*(Q$13/1000)^$AC$34*$AH$8^$AE$34))))</f>
        <v>2684.5447127977905</v>
      </c>
      <c r="R18" s="22"/>
      <c r="S18" s="14">
        <v>1300</v>
      </c>
      <c r="T18" s="50">
        <f>IF($B$4&gt;$B$3,"X",IF($B$3&lt;$B$4,"X",IF($S18="","",($AH$28*(T$13/1000)^$AJ$28*$AH$8^($AL$28+$AL$29*(T$13/1000))*(($S18/1000)-$AN$8*0.8)+$AN$8*($AH$31*(T$13/1000)^$AJ$31*$AH$8^$AL$31)+$AN$8*($AH$32*($AG$9*(1-$I$4/100))^$AL$33*$AH$9^$AL$32*(T$13/1000)^$AJ$32))+$AN$8*($AH$34*(T$13/1000)^$AJ$34*$AH$8^$AL$34))))</f>
        <v>2098.2659933290533</v>
      </c>
      <c r="U18" s="21">
        <f>IF($B$4&gt;$B$3,"X",IF($B$3&lt;$B$4,"X",IF($S18="","",($AH$28*(U$13/1000)^$AJ$28*$AH$8^($AL$28+$AL$29*(U$13/1000))*(($S18/1000)-$AN$8*0.8)+$AN$8*($AH$31*(U$13/1000)^$AJ$31*$AH$8^$AL$31)+$AN$8*($AH$32*($AG$9*(1-$I$4/100))^$AL$33*$AH$9^$AL$32*(U$13/1000)^$AJ$32))+$AN$8*($AH$34*(U$13/1000)^$AJ$34*$AH$8^$AL$34))))</f>
        <v>2616.1881806144925</v>
      </c>
      <c r="V18" s="21">
        <f>IF($B$4&gt;$B$3,"X",IF($B$3&lt;$B$4,"X",IF($S18="","",($AH$28*(V$13/1000)^$AJ$28*$AH$8^($AL$28+$AL$29*(V$13/1000))*(($S18/1000)-$AN$8*0.8)+$AN$8*($AH$31*(V$13/1000)^$AJ$31*$AH$8^$AL$31)+$AN$8*($AH$32*($AG$9*(1-$I$4/100))^$AL$33*$AH$9^$AL$32*(V$13/1000)^$AJ$32))+$AN$8*($AH$34*(V$13/1000)^$AJ$34*$AH$8^$AL$34))))</f>
        <v>3109.8561525241053</v>
      </c>
      <c r="W18" s="51">
        <f>IF($B$4&gt;$B$3,"X",IF($B$3&lt;$B$4,"X",IF($S18="","",($AH$28*(W$13/1000)^$AJ$28*$AH$8^($AL$28+$AL$29*(W$13/1000))*(($S18/1000)-$AN$8*0.8)+$AN$8*($AH$31*(W$13/1000)^$AJ$31*$AH$8^$AL$31)+$AN$8*($AH$32*($AG$9*(1-$I$4/100))^$AL$33*$AH$9^$AL$32*(W$13/1000)^$AJ$32))+$AN$8*($AH$34*(W$13/1000)^$AJ$34*$AH$8^$AL$34))))</f>
        <v>3585.7142142141392</v>
      </c>
      <c r="Z18" s="89" t="s">
        <v>11</v>
      </c>
      <c r="AA18" s="29">
        <v>2.10863</v>
      </c>
      <c r="AB18" s="28" t="s">
        <v>8</v>
      </c>
      <c r="AC18" s="29">
        <v>0.96696</v>
      </c>
      <c r="AD18" s="28" t="s">
        <v>9</v>
      </c>
      <c r="AE18" s="63">
        <v>1.35675</v>
      </c>
      <c r="AF18" s="32"/>
      <c r="AG18" s="89" t="s">
        <v>11</v>
      </c>
      <c r="AH18" s="29">
        <v>2.87251</v>
      </c>
      <c r="AI18" s="28" t="s">
        <v>8</v>
      </c>
      <c r="AJ18" s="29">
        <v>1.09353</v>
      </c>
      <c r="AK18" s="28" t="s">
        <v>9</v>
      </c>
      <c r="AL18" s="63">
        <v>1.32196</v>
      </c>
      <c r="AM18" s="32"/>
      <c r="AN18" s="32"/>
    </row>
    <row r="19" spans="1:40" ht="12.75">
      <c r="A19" s="14">
        <f>IF($M$3&gt;2,"Not valid",1600)</f>
        <v>1600</v>
      </c>
      <c r="B19" s="50">
        <f>IF($B$4&gt;$B$3,"X",IF($B$3&lt;$B$4,"X",IF($A19="not valid","",($AA$12*(B$13/1000)^$AC$12*$U$2^($AE$12+$AE$13*(B$13/1000))*(($A19/1000)-$M$3*0.8)+$M$3*($AA$15*(B$13/1000)^$AC$15*$U$2^$AE$15)+$M$3*($AA$16*($I$3*(1-$I$4/100))^$AE$17*$U$3^$AE$16*(B$13/1000)^$AC$16))+$M$3*($AA$18*(B$13/1000)^$AC$18*$U$2^$AE$18))))</f>
        <v>1105.2380844502254</v>
      </c>
      <c r="C19" s="21">
        <f>IF($B$4&gt;$B$3,"X",IF($B$3&lt;$B$4,"X",IF($A19="not valid","",($AA$12*(C$13/1000)^$AC$12*$U$2^($AE$12+$AE$13*(C$13/1000))*(($A19/1000)-$M$3*0.8)+$M$3*($AA$15*(C$13/1000)^$AC$15*$U$2^$AE$15)+$M$3*($AA$16*($I$3*(1-$I$4/100))^$AE$17*$U$3^$AE$16*(C$13/1000)^$AC$16))+$M$3*($AA$18*(C$13/1000)^$AC$18*$U$2^$AE$18))))</f>
        <v>1393.049152829939</v>
      </c>
      <c r="D19" s="21">
        <f>IF($B$4&gt;$B$3,"X",IF($B$3&lt;$B$4,"X",IF($A19="not valid","",($AA$12*(D$13/1000)^$AC$12*$U$2^($AE$12+$AE$13*(D$13/1000))*(($A19/1000)-$M$3*0.8)+$M$3*($AA$15*(D$13/1000)^$AC$15*$U$2^$AE$15)+$M$3*($AA$16*($I$3*(1-$I$4/100))^$AE$17*$U$3^$AE$16*(D$13/1000)^$AC$16))+$M$3*($AA$18*(D$13/1000)^$AC$18*$U$2^$AE$18))))</f>
        <v>1667.212365521209</v>
      </c>
      <c r="E19" s="51">
        <f>IF($B$4&gt;$B$3,"X",IF($B$3&lt;$B$4,"X",IF($A19="not valid","",($AA$12*(E$13/1000)^$AC$12*$U$2^($AE$12+$AE$13*(E$13/1000))*(($A19/1000)-$M$3*0.8)+$M$3*($AA$15*(E$13/1000)^$AC$15*$U$2^$AE$15)+$M$3*($AA$16*($I$3*(1-$I$4/100))^$AE$17*$U$3^$AE$16*(E$13/1000)^$AC$16))+$M$3*($AA$18*(E$13/1000)^$AC$18*$U$2^$AE$18))))</f>
        <v>1930.1782857112148</v>
      </c>
      <c r="F19" s="22"/>
      <c r="G19" s="14">
        <f>IF($M$3&gt;2,"",1600)</f>
        <v>1600</v>
      </c>
      <c r="H19" s="50">
        <f>IF($B$4&gt;$B$3,"X",IF($B$3&lt;$B$4,"X",IF($G19="","",($AH$12*(H$13/1000)^$AJ$12*$AE$8^($AL$12+$AL$13*(H$13/1000))*(($G19/1000)-$AK$8*0.8)+$AK$8*($AH$15*(H$13/1000)^$AJ$15*$AE$8^$AL$15)+$AK$8*($AH$16*($AD$9*(1-$I$4/100))^$AL$17*$AE$9^$AL$16*(H$13/1000)^$AJ$16))+$AK$8*($AH$18*(H$13/1000)^$AJ$18*$AE$8^$AL$18))))</f>
        <v>1642.5514160149717</v>
      </c>
      <c r="I19" s="21">
        <f>IF($B$4&gt;$B$3,"X",IF($B$3&lt;$B$4,"X",IF($G19="","",($AH$12*(I$13/1000)^$AJ$12*$AE$8^($AL$12+$AL$13*(I$13/1000))*(($G19/1000)-$AK$8*0.8)+$AK$8*($AH$15*(I$13/1000)^$AJ$15*$AE$8^$AL$15)+$AK$8*($AH$16*($AD$9*(1-$I$4/100))^$AL$17*$AE$9^$AL$16*(I$13/1000)^$AJ$16))+$AK$8*($AH$18*(I$13/1000)^$AJ$18*$AE$8^$AL$18))))</f>
        <v>2015.794778632382</v>
      </c>
      <c r="J19" s="21">
        <f>IF($B$4&gt;$B$3,"X",IF($B$3&lt;$B$4,"X",IF($G19="","",($AH$12*(J$13/1000)^$AJ$12*$AE$8^($AL$12+$AL$13*(J$13/1000))*(($G19/1000)-$AK$8*0.8)+$AK$8*($AH$15*(J$13/1000)^$AJ$15*$AE$8^$AL$15)+$AK$8*($AH$16*($AD$9*(1-$I$4/100))^$AL$17*$AE$9^$AL$16*(J$13/1000)^$AJ$16))+$AK$8*($AH$18*(J$13/1000)^$AJ$18*$AE$8^$AL$18))))</f>
        <v>2368.675678096532</v>
      </c>
      <c r="K19" s="51">
        <f>IF($B$4&gt;$B$3,"X",IF($B$3&lt;$B$4,"X",IF($G19="","",($AH$12*(K$13/1000)^$AJ$12*$AE$8^($AL$12+$AL$13*(K$13/1000))*(($G19/1000)-$AK$8*0.8)+$AK$8*($AH$15*(K$13/1000)^$AJ$15*$AE$8^$AL$15)+$AK$8*($AH$16*($AD$9*(1-$I$4/100))^$AL$17*$AE$9^$AL$16*(K$13/1000)^$AJ$16))+$AK$8*($AH$18*(K$13/1000)^$AJ$18*$AE$8^$AL$18))))</f>
        <v>2706.77779124128</v>
      </c>
      <c r="L19" s="22"/>
      <c r="M19" s="14">
        <f>IF($M$3&gt;2,"",1600)</f>
        <v>1600</v>
      </c>
      <c r="N19" s="50">
        <f>IF($B$4&gt;$B$3,"X",IF($B$3&lt;$B$4,"X",IF($M19="","",($AA$28*(N$13/1000)^$AC$28*$AH$8^($AE$28+$AE$29*(N$13/1000))*(($M19/1000)-$AN$8*0.8)+$AN$8*($AA$31*(N$13/1000)^$AC$31*$AH$8^$AE$31)+$AN$8*($AA$32*($AG$9*(1-$I$4/100))^$AE$33*$AH$9^$AE$32*(N$13/1000)^$AC$32))+$AN$8*($AA$34*(N$13/1000)^$AC$34*$AH$8^$AE$34))))</f>
        <v>1889.394232978473</v>
      </c>
      <c r="O19" s="21">
        <f>IF($B$4&gt;$B$3,"X",IF($B$3&lt;$B$4,"X",IF($M19="","",($AA$28*(O$13/1000)^$AC$28*$AH$8^($AE$28+$AE$29*(O$13/1000))*(($M19/1000)-$AN$8*0.8)+$AN$8*($AA$31*(O$13/1000)^$AC$31*$AH$8^$AE$31)+$AN$8*($AA$32*($AG$9*(1-$I$4/100))^$AE$33*$AH$9^$AE$32*(O$13/1000)^$AC$32))+$AN$8*($AA$34*(O$13/1000)^$AC$34*$AH$8^$AE$34))))</f>
        <v>2345.5275927651433</v>
      </c>
      <c r="P19" s="21">
        <f>IF($B$4&gt;$B$3,"X",IF($B$3&lt;$B$4,"X",IF($M19="","",($AA$28*(P$13/1000)^$AC$28*$AH$8^($AE$28+$AE$29*(P$13/1000))*(($M19/1000)-$AN$8*0.8)+$AN$8*($AA$31*(P$13/1000)^$AC$31*$AH$8^$AE$31)+$AN$8*($AA$32*($AG$9*(1-$I$4/100))^$AE$33*$AH$9^$AE$32*(P$13/1000)^$AC$32))+$AN$8*($AA$34*(P$13/1000)^$AC$34*$AH$8^$AE$34))))</f>
        <v>2779.1787185771504</v>
      </c>
      <c r="Q19" s="51">
        <f>IF($B$4&gt;$B$3,"X",IF($B$3&lt;$B$4,"X",IF($M19="","",($AA$28*(Q$13/1000)^$AC$28*$AH$8^($AE$28+$AE$29*(Q$13/1000))*(($M19/1000)-$AN$8*0.8)+$AN$8*($AA$31*(Q$13/1000)^$AC$31*$AH$8^$AE$31)+$AN$8*($AA$32*($AG$9*(1-$I$4/100))^$AE$33*$AH$9^$AE$32*(Q$13/1000)^$AC$32))+$AN$8*($AA$34*(Q$13/1000)^$AC$34*$AH$8^$AE$34))))</f>
        <v>3196.4629180079314</v>
      </c>
      <c r="R19" s="22"/>
      <c r="S19" s="14">
        <f>IF($M$3&gt;2,"",1600)</f>
        <v>1600</v>
      </c>
      <c r="T19" s="50">
        <f>IF($B$4&gt;$B$3,"X",IF($B$3&lt;$B$4,"X",IF($S19="","",($AH$28*(T$13/1000)^$AJ$28*$AH$8^($AL$28+$AL$29*(T$13/1000))*(($S19/1000)-$AN$8*0.8)+$AN$8*($AH$31*(T$13/1000)^$AJ$31*$AH$8^$AL$31)+$AN$8*($AH$32*($AG$9*(1-$I$4/100))^$AL$33*$AH$9^$AL$32*(T$13/1000)^$AJ$32))+$AN$8*($AH$34*(T$13/1000)^$AJ$34*$AH$8^$AL$34))))</f>
        <v>2502.004052891676</v>
      </c>
      <c r="U19" s="21">
        <f>IF($B$4&gt;$B$3,"X",IF($B$3&lt;$B$4,"X",IF($S19="","",($AH$28*(U$13/1000)^$AJ$28*$AH$8^($AL$28+$AL$29*(U$13/1000))*(($S19/1000)-$AN$8*0.8)+$AN$8*($AH$31*(U$13/1000)^$AJ$31*$AH$8^$AL$31)+$AN$8*($AH$32*($AG$9*(1-$I$4/100))^$AL$33*$AH$9^$AL$32*(U$13/1000)^$AJ$32))+$AN$8*($AH$34*(U$13/1000)^$AJ$34*$AH$8^$AL$34))))</f>
        <v>3125.3002957166905</v>
      </c>
      <c r="V19" s="21">
        <f>IF($B$4&gt;$B$3,"X",IF($B$3&lt;$B$4,"X",IF($S19="","",($AH$28*(V$13/1000)^$AJ$28*$AH$8^($AL$28+$AL$29*(V$13/1000))*(($S19/1000)-$AN$8*0.8)+$AN$8*($AH$31*(V$13/1000)^$AJ$31*$AH$8^$AL$31)+$AN$8*($AH$32*($AG$9*(1-$I$4/100))^$AL$33*$AH$9^$AL$32*(V$13/1000)^$AJ$32))+$AN$8*($AH$34*(V$13/1000)^$AJ$34*$AH$8^$AL$34))))</f>
        <v>3719.294214847358</v>
      </c>
      <c r="W19" s="51">
        <f>IF($B$4&gt;$B$3,"X",IF($B$3&lt;$B$4,"X",IF($S19="","",($AH$28*(W$13/1000)^$AJ$28*$AH$8^($AL$28+$AL$29*(W$13/1000))*(($S19/1000)-$AN$8*0.8)+$AN$8*($AH$31*(W$13/1000)^$AJ$31*$AH$8^$AL$31)+$AN$8*($AH$32*($AG$9*(1-$I$4/100))^$AL$33*$AH$9^$AL$32*(W$13/1000)^$AJ$32))+$AN$8*($AH$34*(W$13/1000)^$AJ$34*$AH$8^$AL$34))))</f>
        <v>4291.628959072112</v>
      </c>
      <c r="Z19" s="66"/>
      <c r="AA19" s="36">
        <v>300</v>
      </c>
      <c r="AB19" s="36">
        <v>400</v>
      </c>
      <c r="AC19" s="36">
        <v>450</v>
      </c>
      <c r="AD19" s="36">
        <v>500</v>
      </c>
      <c r="AE19" s="94">
        <v>600</v>
      </c>
      <c r="AF19" s="32"/>
      <c r="AG19" s="66"/>
      <c r="AH19" s="36">
        <v>300</v>
      </c>
      <c r="AI19" s="36">
        <v>400</v>
      </c>
      <c r="AJ19" s="36">
        <v>450</v>
      </c>
      <c r="AK19" s="36">
        <v>500</v>
      </c>
      <c r="AL19" s="94">
        <v>600</v>
      </c>
      <c r="AM19" s="32"/>
      <c r="AN19" s="32"/>
    </row>
    <row r="20" spans="1:40" ht="12.75">
      <c r="A20" s="14">
        <f>IF($M$3&gt;3,"Not valid",1800)</f>
        <v>1800</v>
      </c>
      <c r="B20" s="50">
        <f>IF($B$4&gt;$B$3,"X",IF($B$3&lt;$B$4,"X",IF($A20="not valid","",($AA$12*(B$13/1000)^$AC$12*$U$2^($AE$12+$AE$13*(B$13/1000))*(($A20/1000)-$M$3*0.8)+$M$3*($AA$15*(B$13/1000)^$AC$15*$U$2^$AE$15)+$M$3*($AA$16*($I$3*(1-$I$4/100))^$AE$17*$U$3^$AE$16*(B$13/1000)^$AC$16))+$M$3*($AA$18*(B$13/1000)^$AC$18*$U$2^$AE$18))))</f>
        <v>1214.3521144141378</v>
      </c>
      <c r="C20" s="21">
        <f>IF($B$4&gt;$B$3,"X",IF($B$3&lt;$B$4,"X",IF($A20="not valid","",($AA$12*(C$13/1000)^$AC$12*$U$2^($AE$12+$AE$13*(C$13/1000))*(($A20/1000)-$M$3*0.8)+$M$3*($AA$15*(C$13/1000)^$AC$15*$U$2^$AE$15)+$M$3*($AA$16*($I$3*(1-$I$4/100))^$AE$17*$U$3^$AE$16*(C$13/1000)^$AC$16))+$M$3*($AA$18*(C$13/1000)^$AC$18*$U$2^$AE$18))))</f>
        <v>1534.9733387348</v>
      </c>
      <c r="D20" s="21">
        <f>IF($B$4&gt;$B$3,"X",IF($B$3&lt;$B$4,"X",IF($A20="not valid","",($AA$12*(D$13/1000)^$AC$12*$U$2^($AE$12+$AE$13*(D$13/1000))*(($A20/1000)-$M$3*0.8)+$M$3*($AA$15*(D$13/1000)^$AC$15*$U$2^$AE$15)+$M$3*($AA$16*($I$3*(1-$I$4/100))^$AE$17*$U$3^$AE$16*(D$13/1000)^$AC$16))+$M$3*($AA$18*(D$13/1000)^$AC$18*$U$2^$AE$18))))</f>
        <v>1840.497598933678</v>
      </c>
      <c r="E20" s="51">
        <f>IF($B$4&gt;$B$3,"X",IF($B$3&lt;$B$4,"X",IF($A20="not valid","",($AA$12*(E$13/1000)^$AC$12*$U$2^($AE$12+$AE$13*(E$13/1000))*(($A20/1000)-$M$3*0.8)+$M$3*($AA$15*(E$13/1000)^$AC$15*$U$2^$AE$15)+$M$3*($AA$16*($I$3*(1-$I$4/100))^$AE$17*$U$3^$AE$16*(E$13/1000)^$AC$16))+$M$3*($AA$18*(E$13/1000)^$AC$18*$U$2^$AE$18))))</f>
        <v>2133.456535303123</v>
      </c>
      <c r="F20" s="22"/>
      <c r="G20" s="14">
        <f>IF($M$3&gt;3,"",1800)</f>
        <v>1800</v>
      </c>
      <c r="H20" s="50">
        <f>IF($B$4&gt;$B$3,"X",IF($B$3&lt;$B$4,"X",IF($G20="","",($AH$12*(H$13/1000)^$AJ$12*$AE$8^($AL$12+$AL$13*(H$13/1000))*(($G20/1000)-$AK$8*0.8)+$AK$8*($AH$15*(H$13/1000)^$AJ$15*$AE$8^$AL$15)+$AK$8*($AH$16*($AD$9*(1-$I$4/100))^$AL$17*$AE$9^$AL$16*(H$13/1000)^$AJ$16))+$AK$8*($AH$18*(H$13/1000)^$AJ$18*$AE$8^$AL$18))))</f>
        <v>1794.6677598770982</v>
      </c>
      <c r="I20" s="21">
        <f>IF($B$4&gt;$B$3,"X",IF($B$3&lt;$B$4,"X",IF($G20="","",($AH$12*(I$13/1000)^$AJ$12*$AE$8^($AL$12+$AL$13*(I$13/1000))*(($G20/1000)-$AK$8*0.8)+$AK$8*($AH$15*(I$13/1000)^$AJ$15*$AE$8^$AL$15)+$AK$8*($AH$16*($AD$9*(1-$I$4/100))^$AL$17*$AE$9^$AL$16*(I$13/1000)^$AJ$16))+$AK$8*($AH$18*(I$13/1000)^$AJ$18*$AE$8^$AL$18))))</f>
        <v>2208.0450681086418</v>
      </c>
      <c r="J20" s="21">
        <f>IF($B$4&gt;$B$3,"X",IF($B$3&lt;$B$4,"X",IF($G20="","",($AH$12*(J$13/1000)^$AJ$12*$AE$8^($AL$12+$AL$13*(J$13/1000))*(($G20/1000)-$AK$8*0.8)+$AK$8*($AH$15*(J$13/1000)^$AJ$15*$AE$8^$AL$15)+$AK$8*($AH$16*($AD$9*(1-$I$4/100))^$AL$17*$AE$9^$AL$16*(J$13/1000)^$AJ$16))+$AK$8*($AH$18*(J$13/1000)^$AJ$18*$AE$8^$AL$18))))</f>
        <v>2599.253079867376</v>
      </c>
      <c r="K20" s="51">
        <f>IF($B$4&gt;$B$3,"X",IF($B$3&lt;$B$4,"X",IF($G20="","",($AH$12*(K$13/1000)^$AJ$12*$AE$8^($AL$12+$AL$13*(K$13/1000))*(($G20/1000)-$AK$8*0.8)+$AK$8*($AH$15*(K$13/1000)^$AJ$15*$AE$8^$AL$15)+$AK$8*($AH$16*($AD$9*(1-$I$4/100))^$AL$17*$AE$9^$AL$16*(K$13/1000)^$AJ$16))+$AK$8*($AH$18*(K$13/1000)^$AJ$18*$AE$8^$AL$18))))</f>
        <v>2974.313691372668</v>
      </c>
      <c r="L20" s="22"/>
      <c r="M20" s="14">
        <f>IF($M$3&gt;3,"",1800)</f>
        <v>1800</v>
      </c>
      <c r="N20" s="50">
        <f>IF($B$4&gt;$B$3,"X",IF($B$3&lt;$B$4,"X",IF($M20="","",($AA$28*(N$13/1000)^$AC$28*$AH$8^($AE$28+$AE$29*(N$13/1000))*(($M20/1000)-$AN$8*0.8)+$AN$8*($AA$31*(N$13/1000)^$AC$31*$AH$8^$AE$31)+$AN$8*($AA$32*($AG$9*(1-$I$4/100))^$AE$33*$AH$9^$AE$32*(N$13/1000)^$AC$32))+$AN$8*($AA$34*(N$13/1000)^$AC$34*$AH$8^$AE$34))))</f>
        <v>2081.5130592095466</v>
      </c>
      <c r="O20" s="21">
        <f>IF($B$4&gt;$B$3,"X",IF($B$3&lt;$B$4,"X",IF($M20="","",($AA$28*(O$13/1000)^$AC$28*$AH$8^($AE$28+$AE$29*(O$13/1000))*(($M20/1000)-$AN$8*0.8)+$AN$8*($AA$31*(O$13/1000)^$AC$31*$AH$8^$AE$31)+$AN$8*($AA$32*($AG$9*(1-$I$4/100))^$AE$33*$AH$9^$AE$32*(O$13/1000)^$AC$32))+$AN$8*($AA$34*(O$13/1000)^$AC$34*$AH$8^$AE$34))))</f>
        <v>2589.340902147884</v>
      </c>
      <c r="P20" s="21">
        <f>IF($B$4&gt;$B$3,"X",IF($B$3&lt;$B$4,"X",IF($M20="","",($AA$28*(P$13/1000)^$AC$28*$AH$8^($AE$28+$AE$29*(P$13/1000))*(($M20/1000)-$AN$8*0.8)+$AN$8*($AA$31*(P$13/1000)^$AC$31*$AH$8^$AE$31)+$AN$8*($AA$32*($AG$9*(1-$I$4/100))^$AE$33*$AH$9^$AE$32*(P$13/1000)^$AC$32))+$AN$8*($AA$34*(P$13/1000)^$AC$34*$AH$8^$AE$34))))</f>
        <v>3072.539745979101</v>
      </c>
      <c r="Q20" s="51">
        <f>IF($B$4&gt;$B$3,"X",IF($B$3&lt;$B$4,"X",IF($M20="","",($AA$28*(Q$13/1000)^$AC$28*$AH$8^($AE$28+$AE$29*(Q$13/1000))*(($M20/1000)-$AN$8*0.8)+$AN$8*($AA$31*(Q$13/1000)^$AC$31*$AH$8^$AE$31)+$AN$8*($AA$32*($AG$9*(1-$I$4/100))^$AE$33*$AH$9^$AE$32*(Q$13/1000)^$AC$32))+$AN$8*($AA$34*(Q$13/1000)^$AC$34*$AH$8^$AE$34))))</f>
        <v>3537.741721481358</v>
      </c>
      <c r="R20" s="22"/>
      <c r="S20" s="14">
        <f>IF($M$3&gt;3,"",1800)</f>
        <v>1800</v>
      </c>
      <c r="T20" s="50">
        <f>IF($B$4&gt;$B$3,"X",IF($B$3&lt;$B$4,"X",IF($S20="","",($AH$28*(T$13/1000)^$AJ$28*$AH$8^($AL$28+$AL$29*(T$13/1000))*(($S20/1000)-$AN$8*0.8)+$AN$8*($AH$31*(T$13/1000)^$AJ$31*$AH$8^$AL$31)+$AN$8*($AH$32*($AG$9*(1-$I$4/100))^$AL$33*$AH$9^$AL$32*(T$13/1000)^$AJ$32))+$AN$8*($AH$34*(T$13/1000)^$AJ$34*$AH$8^$AL$34))))</f>
        <v>2771.1627592667573</v>
      </c>
      <c r="U20" s="21">
        <f>IF($B$4&gt;$B$3,"X",IF($B$3&lt;$B$4,"X",IF($S20="","",($AH$28*(U$13/1000)^$AJ$28*$AH$8^($AL$28+$AL$29*(U$13/1000))*(($S20/1000)-$AN$8*0.8)+$AN$8*($AH$31*(U$13/1000)^$AJ$31*$AH$8^$AL$31)+$AN$8*($AH$32*($AG$9*(1-$I$4/100))^$AL$33*$AH$9^$AL$32*(U$13/1000)^$AJ$32))+$AN$8*($AH$34*(U$13/1000)^$AJ$34*$AH$8^$AL$34))))</f>
        <v>3464.70837245149</v>
      </c>
      <c r="V20" s="21">
        <f>IF($B$4&gt;$B$3,"X",IF($B$3&lt;$B$4,"X",IF($S20="","",($AH$28*(V$13/1000)^$AJ$28*$AH$8^($AL$28+$AL$29*(V$13/1000))*(($S20/1000)-$AN$8*0.8)+$AN$8*($AH$31*(V$13/1000)^$AJ$31*$AH$8^$AL$31)+$AN$8*($AH$32*($AG$9*(1-$I$4/100))^$AL$33*$AH$9^$AL$32*(V$13/1000)^$AJ$32))+$AN$8*($AH$34*(V$13/1000)^$AJ$34*$AH$8^$AL$34))))</f>
        <v>4125.586256396193</v>
      </c>
      <c r="W20" s="51">
        <f>IF($B$4&gt;$B$3,"X",IF($B$3&lt;$B$4,"X",IF($S20="","",($AH$28*(W$13/1000)^$AJ$28*$AH$8^($AL$28+$AL$29*(W$13/1000))*(($S20/1000)-$AN$8*0.8)+$AN$8*($AH$31*(W$13/1000)^$AJ$31*$AH$8^$AL$31)+$AN$8*($AH$32*($AG$9*(1-$I$4/100))^$AL$33*$AH$9^$AL$32*(W$13/1000)^$AJ$32))+$AN$8*($AH$34*(W$13/1000)^$AJ$34*$AH$8^$AL$34))))</f>
        <v>4762.238788977427</v>
      </c>
      <c r="Z20" s="89" t="s">
        <v>27</v>
      </c>
      <c r="AA20" s="37">
        <f>$AA$16*$I$3^$AE$17*$U$3^$AE$16*(AA$19/1000)^$AC$16</f>
        <v>310.57800799443834</v>
      </c>
      <c r="AB20" s="37">
        <f>$AA$16*$I$3^$AE$17*$U$3^$AE$16*(AB$19/1000)^$AC$16</f>
        <v>358.64006885376335</v>
      </c>
      <c r="AC20" s="37">
        <f>$AA$16*$I$3^$AE$17*$U$3^$AE$16*(AC$19/1000)^$AC$16</f>
        <v>380.40195771279315</v>
      </c>
      <c r="AD20" s="37">
        <f>$AA$16*$I$3^$AE$17*$U$3^$AE$16*(AD$19/1000)^$AC$16</f>
        <v>400.9852080709949</v>
      </c>
      <c r="AE20" s="95">
        <f>$AA$16*$I$3^$AE$17*$U$3^$AE$16*(AE$19/1000)^$AC$16</f>
        <v>439.26930044791044</v>
      </c>
      <c r="AF20" s="32"/>
      <c r="AG20" s="89" t="s">
        <v>27</v>
      </c>
      <c r="AH20" s="37">
        <f>$AH$16*$AD$9^$AL$17*$AE$9^$AL$16*(AH$19/1000)^$AJ$16</f>
        <v>623.8606105497465</v>
      </c>
      <c r="AI20" s="37">
        <f>$AH$16*$AD$9^$AL$17*$AE$9^$AL$16*(AI$19/1000)^$AJ$16</f>
        <v>711.882322886309</v>
      </c>
      <c r="AJ20" s="37">
        <f>$AH$16*$AD$9^$AL$17*$AE$9^$AL$16*(AJ$19/1000)^$AJ$16</f>
        <v>751.4091421110678</v>
      </c>
      <c r="AK20" s="37">
        <f>$AH$16*$AD$9^$AL$17*$AE$9^$AL$16*(AK$19/1000)^$AJ$16</f>
        <v>788.6232083435519</v>
      </c>
      <c r="AL20" s="95">
        <f>$AH$16*$AD$9^$AL$17*$AE$9^$AL$16*(AL$19/1000)^$AJ$16</f>
        <v>857.4269259485194</v>
      </c>
      <c r="AM20" s="32"/>
      <c r="AN20" s="32"/>
    </row>
    <row r="21" spans="1:40" ht="12.75">
      <c r="A21" s="14">
        <f>IF($M$3&gt;3,"Not valid",2000)</f>
        <v>2000</v>
      </c>
      <c r="B21" s="50">
        <f>IF($B$4&gt;$B$3,"X",IF($B$3&lt;$B$4,"X",IF($A21="not valid","",($AA$12*(B$13/1000)^$AC$12*$U$2^($AE$12+$AE$13*(B$13/1000))*(($A21/1000)-$M$3*0.8)+$M$3*($AA$15*(B$13/1000)^$AC$15*$U$2^$AE$15)+$M$3*($AA$16*($I$3*(1-$I$4/100))^$AE$17*$U$3^$AE$16*(B$13/1000)^$AC$16))+$M$3*($AA$18*(B$13/1000)^$AC$18*$U$2^$AE$18))))</f>
        <v>1323.46614437805</v>
      </c>
      <c r="C21" s="21">
        <f>IF($B$4&gt;$B$3,"X",IF($B$3&lt;$B$4,"X",IF($A21="not valid","",($AA$12*(C$13/1000)^$AC$12*$U$2^($AE$12+$AE$13*(C$13/1000))*(($A21/1000)-$M$3*0.8)+$M$3*($AA$15*(C$13/1000)^$AC$15*$U$2^$AE$15)+$M$3*($AA$16*($I$3*(1-$I$4/100))^$AE$17*$U$3^$AE$16*(C$13/1000)^$AC$16))+$M$3*($AA$18*(C$13/1000)^$AC$18*$U$2^$AE$18))))</f>
        <v>1676.8975246396612</v>
      </c>
      <c r="D21" s="21">
        <f>IF($B$4&gt;$B$3,"X",IF($B$3&lt;$B$4,"X",IF($A21="not valid","",($AA$12*(D$13/1000)^$AC$12*$U$2^($AE$12+$AE$13*(D$13/1000))*(($A21/1000)-$M$3*0.8)+$M$3*($AA$15*(D$13/1000)^$AC$15*$U$2^$AE$15)+$M$3*($AA$16*($I$3*(1-$I$4/100))^$AE$17*$U$3^$AE$16*(D$13/1000)^$AC$16))+$M$3*($AA$18*(D$13/1000)^$AC$18*$U$2^$AE$18))))</f>
        <v>2013.7828323461467</v>
      </c>
      <c r="E21" s="51">
        <f>IF($B$4&gt;$B$3,"X",IF($B$3&lt;$B$4,"X",IF($A21="not valid","",($AA$12*(E$13/1000)^$AC$12*$U$2^($AE$12+$AE$13*(E$13/1000))*(($A21/1000)-$M$3*0.8)+$M$3*($AA$15*(E$13/1000)^$AC$15*$U$2^$AE$15)+$M$3*($AA$16*($I$3*(1-$I$4/100))^$AE$17*$U$3^$AE$16*(E$13/1000)^$AC$16))+$M$3*($AA$18*(E$13/1000)^$AC$18*$U$2^$AE$18))))</f>
        <v>2336.7347848950317</v>
      </c>
      <c r="F21" s="22"/>
      <c r="G21" s="14">
        <f>IF($M$3&gt;3,"",2000)</f>
        <v>2000</v>
      </c>
      <c r="H21" s="50">
        <f>IF($B$4&gt;$B$3,"X",IF($B$3&lt;$B$4,"X",IF($G21="","",($AH$12*(H$13/1000)^$AJ$12*$AE$8^($AL$12+$AL$13*(H$13/1000))*(($G21/1000)-$AK$8*0.8)+$AK$8*($AH$15*(H$13/1000)^$AJ$15*$AE$8^$AL$15)+$AK$8*($AH$16*($AD$9*(1-$I$4/100))^$AL$17*$AE$9^$AL$16*(H$13/1000)^$AJ$16))+$AK$8*($AH$18*(H$13/1000)^$AJ$18*$AE$8^$AL$18))))</f>
        <v>1946.7841037392247</v>
      </c>
      <c r="I21" s="21">
        <f>IF($B$4&gt;$B$3,"X",IF($B$3&lt;$B$4,"X",IF($G21="","",($AH$12*(I$13/1000)^$AJ$12*$AE$8^($AL$12+$AL$13*(I$13/1000))*(($G21/1000)-$AK$8*0.8)+$AK$8*($AH$15*(I$13/1000)^$AJ$15*$AE$8^$AL$15)+$AK$8*($AH$16*($AD$9*(1-$I$4/100))^$AL$17*$AE$9^$AL$16*(I$13/1000)^$AJ$16))+$AK$8*($AH$18*(I$13/1000)^$AJ$18*$AE$8^$AL$18))))</f>
        <v>2400.2953575849015</v>
      </c>
      <c r="J21" s="21">
        <f>IF($B$4&gt;$B$3,"X",IF($B$3&lt;$B$4,"X",IF($G21="","",($AH$12*(J$13/1000)^$AJ$12*$AE$8^($AL$12+$AL$13*(J$13/1000))*(($G21/1000)-$AK$8*0.8)+$AK$8*($AH$15*(J$13/1000)^$AJ$15*$AE$8^$AL$15)+$AK$8*($AH$16*($AD$9*(1-$I$4/100))^$AL$17*$AE$9^$AL$16*(J$13/1000)^$AJ$16))+$AK$8*($AH$18*(J$13/1000)^$AJ$18*$AE$8^$AL$18))))</f>
        <v>2829.83048163822</v>
      </c>
      <c r="K21" s="51">
        <f>IF($B$4&gt;$B$3,"X",IF($B$3&lt;$B$4,"X",IF($G21="","",($AH$12*(K$13/1000)^$AJ$12*$AE$8^($AL$12+$AL$13*(K$13/1000))*(($G21/1000)-$AK$8*0.8)+$AK$8*($AH$15*(K$13/1000)^$AJ$15*$AE$8^$AL$15)+$AK$8*($AH$16*($AD$9*(1-$I$4/100))^$AL$17*$AE$9^$AL$16*(K$13/1000)^$AJ$16))+$AK$8*($AH$18*(K$13/1000)^$AJ$18*$AE$8^$AL$18))))</f>
        <v>3241.849591504056</v>
      </c>
      <c r="L21" s="22"/>
      <c r="M21" s="14">
        <f>IF($M$3&gt;3,"",2000)</f>
        <v>2000</v>
      </c>
      <c r="N21" s="50">
        <f>IF($B$4&gt;$B$3,"X",IF($B$3&lt;$B$4,"X",IF($M21="","",($AA$28*(N$13/1000)^$AC$28*$AH$8^($AE$28+$AE$29*(N$13/1000))*(($M21/1000)-$AN$8*0.8)+$AN$8*($AA$31*(N$13/1000)^$AC$31*$AH$8^$AE$31)+$AN$8*($AA$32*($AG$9*(1-$I$4/100))^$AE$33*$AH$9^$AE$32*(N$13/1000)^$AC$32))+$AN$8*($AA$34*(N$13/1000)^$AC$34*$AH$8^$AE$34))))</f>
        <v>2273.63188544062</v>
      </c>
      <c r="O21" s="21">
        <f>IF($B$4&gt;$B$3,"X",IF($B$3&lt;$B$4,"X",IF($M21="","",($AA$28*(O$13/1000)^$AC$28*$AH$8^($AE$28+$AE$29*(O$13/1000))*(($M21/1000)-$AN$8*0.8)+$AN$8*($AA$31*(O$13/1000)^$AC$31*$AH$8^$AE$31)+$AN$8*($AA$32*($AG$9*(1-$I$4/100))^$AE$33*$AH$9^$AE$32*(O$13/1000)^$AC$32))+$AN$8*($AA$34*(O$13/1000)^$AC$34*$AH$8^$AE$34))))</f>
        <v>2833.154211530625</v>
      </c>
      <c r="P21" s="21">
        <f>IF($B$4&gt;$B$3,"X",IF($B$3&lt;$B$4,"X",IF($M21="","",($AA$28*(P$13/1000)^$AC$28*$AH$8^($AE$28+$AE$29*(P$13/1000))*(($M21/1000)-$AN$8*0.8)+$AN$8*($AA$31*(P$13/1000)^$AC$31*$AH$8^$AE$31)+$AN$8*($AA$32*($AG$9*(1-$I$4/100))^$AE$33*$AH$9^$AE$32*(P$13/1000)^$AC$32))+$AN$8*($AA$34*(P$13/1000)^$AC$34*$AH$8^$AE$34))))</f>
        <v>3365.900773381052</v>
      </c>
      <c r="Q21" s="51">
        <f>IF($B$4&gt;$B$3,"X",IF($B$3&lt;$B$4,"X",IF($M21="","",($AA$28*(Q$13/1000)^$AC$28*$AH$8^($AE$28+$AE$29*(Q$13/1000))*(($M21/1000)-$AN$8*0.8)+$AN$8*($AA$31*(Q$13/1000)^$AC$31*$AH$8^$AE$31)+$AN$8*($AA$32*($AG$9*(1-$I$4/100))^$AE$33*$AH$9^$AE$32*(Q$13/1000)^$AC$32))+$AN$8*($AA$34*(Q$13/1000)^$AC$34*$AH$8^$AE$34))))</f>
        <v>3879.0205249547853</v>
      </c>
      <c r="R21" s="22"/>
      <c r="S21" s="14">
        <f>IF($M$3&gt;3,"",2000)</f>
        <v>2000</v>
      </c>
      <c r="T21" s="50">
        <f>IF($B$4&gt;$B$3,"X",IF($B$3&lt;$B$4,"X",IF($S21="","",($AH$28*(T$13/1000)^$AJ$28*$AH$8^($AL$28+$AL$29*(T$13/1000))*(($S21/1000)-$AN$8*0.8)+$AN$8*($AH$31*(T$13/1000)^$AJ$31*$AH$8^$AL$31)+$AN$8*($AH$32*($AG$9*(1-$I$4/100))^$AL$33*$AH$9^$AL$32*(T$13/1000)^$AJ$32))+$AN$8*($AH$34*(T$13/1000)^$AJ$34*$AH$8^$AL$34))))</f>
        <v>3040.3214656418395</v>
      </c>
      <c r="U21" s="21">
        <f>IF($B$4&gt;$B$3,"X",IF($B$3&lt;$B$4,"X",IF($S21="","",($AH$28*(U$13/1000)^$AJ$28*$AH$8^($AL$28+$AL$29*(U$13/1000))*(($S21/1000)-$AN$8*0.8)+$AN$8*($AH$31*(U$13/1000)^$AJ$31*$AH$8^$AL$31)+$AN$8*($AH$32*($AG$9*(1-$I$4/100))^$AL$33*$AH$9^$AL$32*(U$13/1000)^$AJ$32))+$AN$8*($AH$34*(U$13/1000)^$AJ$34*$AH$8^$AL$34))))</f>
        <v>3804.1164491862887</v>
      </c>
      <c r="V21" s="21">
        <f>IF($B$4&gt;$B$3,"X",IF($B$3&lt;$B$4,"X",IF($S21="","",($AH$28*(V$13/1000)^$AJ$28*$AH$8^($AL$28+$AL$29*(V$13/1000))*(($S21/1000)-$AN$8*0.8)+$AN$8*($AH$31*(V$13/1000)^$AJ$31*$AH$8^$AL$31)+$AN$8*($AH$32*($AG$9*(1-$I$4/100))^$AL$33*$AH$9^$AL$32*(V$13/1000)^$AJ$32))+$AN$8*($AH$34*(V$13/1000)^$AJ$34*$AH$8^$AL$34))))</f>
        <v>4531.878297945028</v>
      </c>
      <c r="W21" s="51">
        <f>IF($B$4&gt;$B$3,"X",IF($B$3&lt;$B$4,"X",IF($S21="","",($AH$28*(W$13/1000)^$AJ$28*$AH$8^($AL$28+$AL$29*(W$13/1000))*(($S21/1000)-$AN$8*0.8)+$AN$8*($AH$31*(W$13/1000)^$AJ$31*$AH$8^$AL$31)+$AN$8*($AH$32*($AG$9*(1-$I$4/100))^$AL$33*$AH$9^$AL$32*(W$13/1000)^$AJ$32))+$AN$8*($AH$34*(W$13/1000)^$AJ$34*$AH$8^$AL$34))))</f>
        <v>5232.848618882742</v>
      </c>
      <c r="Z21" s="89" t="s">
        <v>28</v>
      </c>
      <c r="AA21" s="37">
        <f>$AA$18*(AA$19/1000)^$AC$18*$U$2^$AE$18</f>
        <v>132.28251475418628</v>
      </c>
      <c r="AB21" s="37">
        <f>$AA$18*(AB$19/1000)^$AC$18*$U$2^$AE$18</f>
        <v>174.70816539155106</v>
      </c>
      <c r="AC21" s="37">
        <f>$AA$18*(AC$19/1000)^$AC$18*$U$2^$AE$18</f>
        <v>195.78330085472592</v>
      </c>
      <c r="AD21" s="37">
        <f>$AA$18*(AD$19/1000)^$AC$18*$U$2^$AE$18</f>
        <v>216.78104695109732</v>
      </c>
      <c r="AE21" s="95">
        <f>$AA$18*(AE$19/1000)^$AC$18*$U$2^$AE$18</f>
        <v>258.5749248129468</v>
      </c>
      <c r="AF21" s="32"/>
      <c r="AG21" s="89" t="s">
        <v>28</v>
      </c>
      <c r="AH21" s="37">
        <f>$AH$18*(AH$19/1000)^$AJ$18*$AE$8^$AL$18</f>
        <v>135.05985051981799</v>
      </c>
      <c r="AI21" s="37">
        <f>$AH$18*(AI$19/1000)^$AJ$18*$AE$8^$AL$18</f>
        <v>184.99096648319988</v>
      </c>
      <c r="AJ21" s="37">
        <f>$AH$18*(AJ$19/1000)^$AJ$18*$AE$8^$AL$18</f>
        <v>210.42015648241622</v>
      </c>
      <c r="AK21" s="37">
        <f>$AH$18*(AK$19/1000)^$AJ$18*$AE$8^$AL$18</f>
        <v>236.11551644529501</v>
      </c>
      <c r="AL21" s="95">
        <f>$AH$18*(AL$19/1000)^$AJ$18*$AE$8^$AL$18</f>
        <v>288.21169256008136</v>
      </c>
      <c r="AM21" s="32"/>
      <c r="AN21" s="32"/>
    </row>
    <row r="22" spans="1:40" ht="12.75">
      <c r="A22" s="14">
        <f>IF($M$3&gt;3,"Not valid",2300)</f>
        <v>2300</v>
      </c>
      <c r="B22" s="50">
        <f>IF($B$4&gt;$B$3,"X",IF($B$3&lt;$B$4,"X",IF($A22="not valid","",($AA$12*(B$13/1000)^$AC$12*$U$2^($AE$12+$AE$13*(B$13/1000))*(($A22/1000)-$M$3*0.8)+$M$3*($AA$15*(B$13/1000)^$AC$15*$U$2^$AE$15)+$M$3*($AA$16*($I$3*(1-$I$4/100))^$AE$17*$U$3^$AE$16*(B$13/1000)^$AC$16))+$M$3*($AA$18*(B$13/1000)^$AC$18*$U$2^$AE$18))))</f>
        <v>1487.1371893239186</v>
      </c>
      <c r="C22" s="21">
        <f>IF($B$4&gt;$B$3,"X",IF($B$3&lt;$B$4,"X",IF($A22="not valid","",($AA$12*(C$13/1000)^$AC$12*$U$2^($AE$12+$AE$13*(C$13/1000))*(($A22/1000)-$M$3*0.8)+$M$3*($AA$15*(C$13/1000)^$AC$15*$U$2^$AE$15)+$M$3*($AA$16*($I$3*(1-$I$4/100))^$AE$17*$U$3^$AE$16*(C$13/1000)^$AC$16))+$M$3*($AA$18*(C$13/1000)^$AC$18*$U$2^$AE$18))))</f>
        <v>1889.7838034969532</v>
      </c>
      <c r="D22" s="21">
        <f>IF($B$4&gt;$B$3,"X",IF($B$3&lt;$B$4,"X",IF($A22="not valid","",($AA$12*(D$13/1000)^$AC$12*$U$2^($AE$12+$AE$13*(D$13/1000))*(($A22/1000)-$M$3*0.8)+$M$3*($AA$15*(D$13/1000)^$AC$15*$U$2^$AE$15)+$M$3*($AA$16*($I$3*(1-$I$4/100))^$AE$17*$U$3^$AE$16*(D$13/1000)^$AC$16))+$M$3*($AA$18*(D$13/1000)^$AC$18*$U$2^$AE$18))))</f>
        <v>2273.7106824648504</v>
      </c>
      <c r="E22" s="51">
        <f>IF($B$4&gt;$B$3,"X",IF($B$3&lt;$B$4,"X",IF($A22="not valid","",($AA$12*(E$13/1000)^$AC$12*$U$2^($AE$12+$AE$13*(E$13/1000))*(($A22/1000)-$M$3*0.8)+$M$3*($AA$15*(E$13/1000)^$AC$15*$U$2^$AE$15)+$M$3*($AA$16*($I$3*(1-$I$4/100))^$AE$17*$U$3^$AE$16*(E$13/1000)^$AC$16))+$M$3*($AA$18*(E$13/1000)^$AC$18*$U$2^$AE$18))))</f>
        <v>2641.6521592828944</v>
      </c>
      <c r="F22" s="22"/>
      <c r="G22" s="14">
        <f>IF($M$3&gt;3,"",2300)</f>
        <v>2300</v>
      </c>
      <c r="H22" s="50">
        <f>IF($B$4&gt;$B$3,"X",IF($B$3&lt;$B$4,"X",IF($G22="","",($AH$12*(H$13/1000)^$AJ$12*$AE$8^($AL$12+$AL$13*(H$13/1000))*(($G22/1000)-$AK$8*0.8)+$AK$8*($AH$15*(H$13/1000)^$AJ$15*$AE$8^$AL$15)+$AK$8*($AH$16*($AD$9*(1-$I$4/100))^$AL$17*$AE$9^$AL$16*(H$13/1000)^$AJ$16))+$AK$8*($AH$18*(H$13/1000)^$AJ$18*$AE$8^$AL$18))))</f>
        <v>2174.9586195324146</v>
      </c>
      <c r="I22" s="21">
        <f>IF($B$4&gt;$B$3,"X",IF($B$3&lt;$B$4,"X",IF($G22="","",($AH$12*(I$13/1000)^$AJ$12*$AE$8^($AL$12+$AL$13*(I$13/1000))*(($G22/1000)-$AK$8*0.8)+$AK$8*($AH$15*(I$13/1000)^$AJ$15*$AE$8^$AL$15)+$AK$8*($AH$16*($AD$9*(1-$I$4/100))^$AL$17*$AE$9^$AL$16*(I$13/1000)^$AJ$16))+$AK$8*($AH$18*(I$13/1000)^$AJ$18*$AE$8^$AL$18))))</f>
        <v>2688.6707917992912</v>
      </c>
      <c r="J22" s="21">
        <f>IF($B$4&gt;$B$3,"X",IF($B$3&lt;$B$4,"X",IF($G22="","",($AH$12*(J$13/1000)^$AJ$12*$AE$8^($AL$12+$AL$13*(J$13/1000))*(($G22/1000)-$AK$8*0.8)+$AK$8*($AH$15*(J$13/1000)^$AJ$15*$AE$8^$AL$15)+$AK$8*($AH$16*($AD$9*(1-$I$4/100))^$AL$17*$AE$9^$AL$16*(J$13/1000)^$AJ$16))+$AK$8*($AH$18*(J$13/1000)^$AJ$18*$AE$8^$AL$18))))</f>
        <v>3175.696584294486</v>
      </c>
      <c r="K22" s="51">
        <f>IF($B$4&gt;$B$3,"X",IF($B$3&lt;$B$4,"X",IF($G22="","",($AH$12*(K$13/1000)^$AJ$12*$AE$8^($AL$12+$AL$13*(K$13/1000))*(($G22/1000)-$AK$8*0.8)+$AK$8*($AH$15*(K$13/1000)^$AJ$15*$AE$8^$AL$15)+$AK$8*($AH$16*($AD$9*(1-$I$4/100))^$AL$17*$AE$9^$AL$16*(K$13/1000)^$AJ$16))+$AK$8*($AH$18*(K$13/1000)^$AJ$18*$AE$8^$AL$18))))</f>
        <v>3643.1534417011385</v>
      </c>
      <c r="L22" s="22"/>
      <c r="M22" s="14">
        <f>IF($M$3&gt;3,"",2300)</f>
        <v>2300</v>
      </c>
      <c r="N22" s="50">
        <f>IF($B$4&gt;$B$3,"X",IF($B$3&lt;$B$4,"X",IF($M22="","",($AA$28*(N$13/1000)^$AC$28*$AH$8^($AE$28+$AE$29*(N$13/1000))*(($M22/1000)-$AN$8*0.8)+$AN$8*($AA$31*(N$13/1000)^$AC$31*$AH$8^$AE$31)+$AN$8*($AA$32*($AG$9*(1-$I$4/100))^$AE$33*$AH$9^$AE$32*(N$13/1000)^$AC$32))+$AN$8*($AA$34*(N$13/1000)^$AC$34*$AH$8^$AE$34))))</f>
        <v>2561.810124787231</v>
      </c>
      <c r="O22" s="21">
        <f>IF($B$4&gt;$B$3,"X",IF($B$3&lt;$B$4,"X",IF($M22="","",($AA$28*(O$13/1000)^$AC$28*$AH$8^($AE$28+$AE$29*(O$13/1000))*(($M22/1000)-$AN$8*0.8)+$AN$8*($AA$31*(O$13/1000)^$AC$31*$AH$8^$AE$31)+$AN$8*($AA$32*($AG$9*(1-$I$4/100))^$AE$33*$AH$9^$AE$32*(O$13/1000)^$AC$32))+$AN$8*($AA$34*(O$13/1000)^$AC$34*$AH$8^$AE$34))))</f>
        <v>3198.874175604736</v>
      </c>
      <c r="P22" s="21">
        <f>IF($B$4&gt;$B$3,"X",IF($B$3&lt;$B$4,"X",IF($M22="","",($AA$28*(P$13/1000)^$AC$28*$AH$8^($AE$28+$AE$29*(P$13/1000))*(($M22/1000)-$AN$8*0.8)+$AN$8*($AA$31*(P$13/1000)^$AC$31*$AH$8^$AE$31)+$AN$8*($AA$32*($AG$9*(1-$I$4/100))^$AE$33*$AH$9^$AE$32*(P$13/1000)^$AC$32))+$AN$8*($AA$34*(P$13/1000)^$AC$34*$AH$8^$AE$34))))</f>
        <v>3805.942314483978</v>
      </c>
      <c r="Q22" s="51">
        <f>IF($B$4&gt;$B$3,"X",IF($B$3&lt;$B$4,"X",IF($M22="","",($AA$28*(Q$13/1000)^$AC$28*$AH$8^($AE$28+$AE$29*(Q$13/1000))*(($M22/1000)-$AN$8*0.8)+$AN$8*($AA$31*(Q$13/1000)^$AC$31*$AH$8^$AE$31)+$AN$8*($AA$32*($AG$9*(1-$I$4/100))^$AE$33*$AH$9^$AE$32*(Q$13/1000)^$AC$32))+$AN$8*($AA$34*(Q$13/1000)^$AC$34*$AH$8^$AE$34))))</f>
        <v>4390.938730164925</v>
      </c>
      <c r="R22" s="22"/>
      <c r="S22" s="14">
        <f>IF($M$3&gt;3,"",2300)</f>
        <v>2300</v>
      </c>
      <c r="T22" s="50">
        <f>IF($B$4&gt;$B$3,"X",IF($B$3&lt;$B$4,"X",IF($S22="","",($AH$28*(T$13/1000)^$AJ$28*$AH$8^($AL$28+$AL$29*(T$13/1000))*(($S22/1000)-$AN$8*0.8)+$AN$8*($AH$31*(T$13/1000)^$AJ$31*$AH$8^$AL$31)+$AN$8*($AH$32*($AG$9*(1-$I$4/100))^$AL$33*$AH$9^$AL$32*(T$13/1000)^$AJ$32))+$AN$8*($AH$34*(T$13/1000)^$AJ$34*$AH$8^$AL$34))))</f>
        <v>3444.0595252044614</v>
      </c>
      <c r="U22" s="21">
        <f>IF($B$4&gt;$B$3,"X",IF($B$3&lt;$B$4,"X",IF($S22="","",($AH$28*(U$13/1000)^$AJ$28*$AH$8^($AL$28+$AL$29*(U$13/1000))*(($S22/1000)-$AN$8*0.8)+$AN$8*($AH$31*(U$13/1000)^$AJ$31*$AH$8^$AL$31)+$AN$8*($AH$32*($AG$9*(1-$I$4/100))^$AL$33*$AH$9^$AL$32*(U$13/1000)^$AJ$32))+$AN$8*($AH$34*(U$13/1000)^$AJ$34*$AH$8^$AL$34))))</f>
        <v>4313.228564288486</v>
      </c>
      <c r="V22" s="21">
        <f>IF($B$4&gt;$B$3,"X",IF($B$3&lt;$B$4,"X",IF($S22="","",($AH$28*(V$13/1000)^$AJ$28*$AH$8^($AL$28+$AL$29*(V$13/1000))*(($S22/1000)-$AN$8*0.8)+$AN$8*($AH$31*(V$13/1000)^$AJ$31*$AH$8^$AL$31)+$AN$8*($AH$32*($AG$9*(1-$I$4/100))^$AL$33*$AH$9^$AL$32*(V$13/1000)^$AJ$32))+$AN$8*($AH$34*(V$13/1000)^$AJ$34*$AH$8^$AL$34))))</f>
        <v>5141.31636026828</v>
      </c>
      <c r="W22" s="51">
        <f>IF($B$4&gt;$B$3,"X",IF($B$3&lt;$B$4,"X",IF($S22="","",($AH$28*(W$13/1000)^$AJ$28*$AH$8^($AL$28+$AL$29*(W$13/1000))*(($S22/1000)-$AN$8*0.8)+$AN$8*($AH$31*(W$13/1000)^$AJ$31*$AH$8^$AL$31)+$AN$8*($AH$32*($AG$9*(1-$I$4/100))^$AL$33*$AH$9^$AL$32*(W$13/1000)^$AJ$32))+$AN$8*($AH$34*(W$13/1000)^$AJ$34*$AH$8^$AL$34))))</f>
        <v>5938.763363740714</v>
      </c>
      <c r="Y22" s="27"/>
      <c r="Z22" s="89" t="s">
        <v>14</v>
      </c>
      <c r="AA22" s="38">
        <f>$I$3</f>
        <v>12</v>
      </c>
      <c r="AB22" s="38">
        <f>$I$3</f>
        <v>12</v>
      </c>
      <c r="AC22" s="38">
        <f>$I$3</f>
        <v>12</v>
      </c>
      <c r="AD22" s="38">
        <f>$I$3</f>
        <v>12</v>
      </c>
      <c r="AE22" s="96">
        <f>$I$3</f>
        <v>12</v>
      </c>
      <c r="AF22" s="32"/>
      <c r="AG22" s="89" t="s">
        <v>14</v>
      </c>
      <c r="AH22" s="38">
        <f>$I$3</f>
        <v>12</v>
      </c>
      <c r="AI22" s="38">
        <f>$I$3</f>
        <v>12</v>
      </c>
      <c r="AJ22" s="38">
        <f>$I$3</f>
        <v>12</v>
      </c>
      <c r="AK22" s="38">
        <f>$I$3</f>
        <v>12</v>
      </c>
      <c r="AL22" s="96">
        <f>$I$3</f>
        <v>12</v>
      </c>
      <c r="AM22" s="32"/>
      <c r="AN22" s="32"/>
    </row>
    <row r="23" spans="1:40" ht="12.75">
      <c r="A23" s="14">
        <f>IF($M$3&gt;4,"Not valid",2600)</f>
        <v>2600</v>
      </c>
      <c r="B23" s="50">
        <f>IF($B$4&gt;$B$3,"X",IF($B$3&lt;$B$4,"X",IF($A23="not valid","",($AA$12*(B$13/1000)^$AC$12*$U$2^($AE$12+$AE$13*(B$13/1000))*(($A23/1000)-$M$3*0.8)+$M$3*($AA$15*(B$13/1000)^$AC$15*$U$2^$AE$15)+$M$3*($AA$16*($I$3*(1-$I$4/100))^$AE$17*$U$3^$AE$16*(B$13/1000)^$AC$16))+$M$3*($AA$18*(B$13/1000)^$AC$18*$U$2^$AE$18))))</f>
        <v>1650.8082342697874</v>
      </c>
      <c r="C23" s="21">
        <f>IF($B$4&gt;$B$3,"X",IF($B$3&lt;$B$4,"X",IF($A23="not valid","",($AA$12*(C$13/1000)^$AC$12*$U$2^($AE$12+$AE$13*(C$13/1000))*(($A23/1000)-$M$3*0.8)+$M$3*($AA$15*(C$13/1000)^$AC$15*$U$2^$AE$15)+$M$3*($AA$16*($I$3*(1-$I$4/100))^$AE$17*$U$3^$AE$16*(C$13/1000)^$AC$16))+$M$3*($AA$18*(C$13/1000)^$AC$18*$U$2^$AE$18))))</f>
        <v>2102.670082354245</v>
      </c>
      <c r="D23" s="21">
        <f>IF($B$4&gt;$B$3,"X",IF($B$3&lt;$B$4,"X",IF($A23="not valid","",($AA$12*(D$13/1000)^$AC$12*$U$2^($AE$12+$AE$13*(D$13/1000))*(($A23/1000)-$M$3*0.8)+$M$3*($AA$15*(D$13/1000)^$AC$15*$U$2^$AE$15)+$M$3*($AA$16*($I$3*(1-$I$4/100))^$AE$17*$U$3^$AE$16*(D$13/1000)^$AC$16))+$M$3*($AA$18*(D$13/1000)^$AC$18*$U$2^$AE$18))))</f>
        <v>2533.638532583554</v>
      </c>
      <c r="E23" s="51">
        <f>IF($B$4&gt;$B$3,"X",IF($B$3&lt;$B$4,"X",IF($A23="not valid","",($AA$12*(E$13/1000)^$AC$12*$U$2^($AE$12+$AE$13*(E$13/1000))*(($A23/1000)-$M$3*0.8)+$M$3*($AA$15*(E$13/1000)^$AC$15*$U$2^$AE$15)+$M$3*($AA$16*($I$3*(1-$I$4/100))^$AE$17*$U$3^$AE$16*(E$13/1000)^$AC$16))+$M$3*($AA$18*(E$13/1000)^$AC$18*$U$2^$AE$18))))</f>
        <v>2946.569533670757</v>
      </c>
      <c r="F23" s="22"/>
      <c r="G23" s="14">
        <f>IF($M$3&gt;4,"",2600)</f>
        <v>2600</v>
      </c>
      <c r="H23" s="50">
        <f>IF($B$4&gt;$B$3,"X",IF($B$3&lt;$B$4,"X",IF($G23="","",($AH$12*(H$13/1000)^$AJ$12*$AE$8^($AL$12+$AL$13*(H$13/1000))*(($G23/1000)-$AK$8*0.8)+$AK$8*($AH$15*(H$13/1000)^$AJ$15*$AE$8^$AL$15)+$AK$8*($AH$16*($AD$9*(1-$I$4/100))^$AL$17*$AE$9^$AL$16*(H$13/1000)^$AJ$16))+$AK$8*($AH$18*(H$13/1000)^$AJ$18*$AE$8^$AL$18))))</f>
        <v>2403.133135325605</v>
      </c>
      <c r="I23" s="21">
        <f>IF($B$4&gt;$B$3,"X",IF($B$3&lt;$B$4,"X",IF($G23="","",($AH$12*(I$13/1000)^$AJ$12*$AE$8^($AL$12+$AL$13*(I$13/1000))*(($G23/1000)-$AK$8*0.8)+$AK$8*($AH$15*(I$13/1000)^$AJ$15*$AE$8^$AL$15)+$AK$8*($AH$16*($AD$9*(1-$I$4/100))^$AL$17*$AE$9^$AL$16*(I$13/1000)^$AJ$16))+$AK$8*($AH$18*(I$13/1000)^$AJ$18*$AE$8^$AL$18))))</f>
        <v>2977.046226013681</v>
      </c>
      <c r="J23" s="21">
        <f>IF($B$4&gt;$B$3,"X",IF($B$3&lt;$B$4,"X",IF($G23="","",($AH$12*(J$13/1000)^$AJ$12*$AE$8^($AL$12+$AL$13*(J$13/1000))*(($G23/1000)-$AK$8*0.8)+$AK$8*($AH$15*(J$13/1000)^$AJ$15*$AE$8^$AL$15)+$AK$8*($AH$16*($AD$9*(1-$I$4/100))^$AL$17*$AE$9^$AL$16*(J$13/1000)^$AJ$16))+$AK$8*($AH$18*(J$13/1000)^$AJ$18*$AE$8^$AL$18))))</f>
        <v>3521.562686950752</v>
      </c>
      <c r="K23" s="51">
        <f>IF($B$4&gt;$B$3,"X",IF($B$3&lt;$B$4,"X",IF($G23="","",($AH$12*(K$13/1000)^$AJ$12*$AE$8^($AL$12+$AL$13*(K$13/1000))*(($G23/1000)-$AK$8*0.8)+$AK$8*($AH$15*(K$13/1000)^$AJ$15*$AE$8^$AL$15)+$AK$8*($AH$16*($AD$9*(1-$I$4/100))^$AL$17*$AE$9^$AL$16*(K$13/1000)^$AJ$16))+$AK$8*($AH$18*(K$13/1000)^$AJ$18*$AE$8^$AL$18))))</f>
        <v>4044.4572918982212</v>
      </c>
      <c r="L23" s="22"/>
      <c r="M23" s="14">
        <f>IF($M$3&gt;4,"",2600)</f>
        <v>2600</v>
      </c>
      <c r="N23" s="50">
        <f>IF($B$4&gt;$B$3,"X",IF($B$3&lt;$B$4,"X",IF($M23="","",($AA$28*(N$13/1000)^$AC$28*$AH$8^($AE$28+$AE$29*(N$13/1000))*(($M23/1000)-$AN$8*0.8)+$AN$8*($AA$31*(N$13/1000)^$AC$31*$AH$8^$AE$31)+$AN$8*($AA$32*($AG$9*(1-$I$4/100))^$AE$33*$AH$9^$AE$32*(N$13/1000)^$AC$32))+$AN$8*($AA$34*(N$13/1000)^$AC$34*$AH$8^$AE$34))))</f>
        <v>2849.988364133841</v>
      </c>
      <c r="O23" s="21">
        <f>IF($B$4&gt;$B$3,"X",IF($B$3&lt;$B$4,"X",IF($M23="","",($AA$28*(O$13/1000)^$AC$28*$AH$8^($AE$28+$AE$29*(O$13/1000))*(($M23/1000)-$AN$8*0.8)+$AN$8*($AA$31*(O$13/1000)^$AC$31*$AH$8^$AE$31)+$AN$8*($AA$32*($AG$9*(1-$I$4/100))^$AE$33*$AH$9^$AE$32*(O$13/1000)^$AC$32))+$AN$8*($AA$34*(O$13/1000)^$AC$34*$AH$8^$AE$34))))</f>
        <v>3564.5941396788476</v>
      </c>
      <c r="P23" s="21">
        <f>IF($B$4&gt;$B$3,"X",IF($B$3&lt;$B$4,"X",IF($M23="","",($AA$28*(P$13/1000)^$AC$28*$AH$8^($AE$28+$AE$29*(P$13/1000))*(($M23/1000)-$AN$8*0.8)+$AN$8*($AA$31*(P$13/1000)^$AC$31*$AH$8^$AE$31)+$AN$8*($AA$32*($AG$9*(1-$I$4/100))^$AE$33*$AH$9^$AE$32*(P$13/1000)^$AC$32))+$AN$8*($AA$34*(P$13/1000)^$AC$34*$AH$8^$AE$34))))</f>
        <v>4245.9838555869055</v>
      </c>
      <c r="Q23" s="51">
        <f>IF($B$4&gt;$B$3,"X",IF($B$3&lt;$B$4,"X",IF($M23="","",($AA$28*(Q$13/1000)^$AC$28*$AH$8^($AE$28+$AE$29*(Q$13/1000))*(($M23/1000)-$AN$8*0.8)+$AN$8*($AA$31*(Q$13/1000)^$AC$31*$AH$8^$AE$31)+$AN$8*($AA$32*($AG$9*(1-$I$4/100))^$AE$33*$AH$9^$AE$32*(Q$13/1000)^$AC$32))+$AN$8*($AA$34*(Q$13/1000)^$AC$34*$AH$8^$AE$34))))</f>
        <v>4902.856935375066</v>
      </c>
      <c r="R23" s="22"/>
      <c r="S23" s="14">
        <f>IF($M$3&gt;4,"",2600)</f>
        <v>2600</v>
      </c>
      <c r="T23" s="50">
        <f>IF($B$4&gt;$B$3,"X",IF($B$3&lt;$B$4,"X",IF($S23="","",($AH$28*(T$13/1000)^$AJ$28*$AH$8^($AL$28+$AL$29*(T$13/1000))*(($S23/1000)-$AN$8*0.8)+$AN$8*($AH$31*(T$13/1000)^$AJ$31*$AH$8^$AL$31)+$AN$8*($AH$32*($AG$9*(1-$I$4/100))^$AL$33*$AH$9^$AL$32*(T$13/1000)^$AJ$32))+$AN$8*($AH$34*(T$13/1000)^$AJ$34*$AH$8^$AL$34))))</f>
        <v>3847.797584767085</v>
      </c>
      <c r="U23" s="21">
        <f>IF($B$4&gt;$B$3,"X",IF($B$3&lt;$B$4,"X",IF($S23="","",($AH$28*(U$13/1000)^$AJ$28*$AH$8^($AL$28+$AL$29*(U$13/1000))*(($S23/1000)-$AN$8*0.8)+$AN$8*($AH$31*(U$13/1000)^$AJ$31*$AH$8^$AL$31)+$AN$8*($AH$32*($AG$9*(1-$I$4/100))^$AL$33*$AH$9^$AL$32*(U$13/1000)^$AJ$32))+$AN$8*($AH$34*(U$13/1000)^$AJ$34*$AH$8^$AL$34))))</f>
        <v>4822.340679390685</v>
      </c>
      <c r="V23" s="21">
        <f>IF($B$4&gt;$B$3,"X",IF($B$3&lt;$B$4,"X",IF($S23="","",($AH$28*(V$13/1000)^$AJ$28*$AH$8^($AL$28+$AL$29*(V$13/1000))*(($S23/1000)-$AN$8*0.8)+$AN$8*($AH$31*(V$13/1000)^$AJ$31*$AH$8^$AL$31)+$AN$8*($AH$32*($AG$9*(1-$I$4/100))^$AL$33*$AH$9^$AL$32*(V$13/1000)^$AJ$32))+$AN$8*($AH$34*(V$13/1000)^$AJ$34*$AH$8^$AL$34))))</f>
        <v>5750.7544225915335</v>
      </c>
      <c r="W23" s="51">
        <f>IF($B$4&gt;$B$3,"X",IF($B$3&lt;$B$4,"X",IF($S23="","",($AH$28*(W$13/1000)^$AJ$28*$AH$8^($AL$28+$AL$29*(W$13/1000))*(($S23/1000)-$AN$8*0.8)+$AN$8*($AH$31*(W$13/1000)^$AJ$31*$AH$8^$AL$31)+$AN$8*($AH$32*($AG$9*(1-$I$4/100))^$AL$33*$AH$9^$AL$32*(W$13/1000)^$AJ$32))+$AN$8*($AH$34*(W$13/1000)^$AJ$34*$AH$8^$AL$34))))</f>
        <v>6644.678108598688</v>
      </c>
      <c r="Z23" s="89" t="s">
        <v>15</v>
      </c>
      <c r="AA23" s="39">
        <f>1.711*$U$2^0.4*(AA$19/1000)^1.2*1.1</f>
        <v>2.1193106377176414</v>
      </c>
      <c r="AB23" s="39">
        <f>1.711*$U$2^0.4*(AB$19/1000)^1.2*1.1</f>
        <v>2.9930991387451846</v>
      </c>
      <c r="AC23" s="39">
        <f>1.711*$U$2^0.4*(AC$19/1000)^1.2*1.1</f>
        <v>3.4474988415056624</v>
      </c>
      <c r="AD23" s="39">
        <f>1.711*$U$2^0.4*(AD$19/1000)^1.2*1.1</f>
        <v>3.9121285553735494</v>
      </c>
      <c r="AE23" s="97">
        <f>1.711*$U$2^0.4*(AE$19/1000)^1.2*1.1</f>
        <v>4.868897286547944</v>
      </c>
      <c r="AF23" s="32"/>
      <c r="AG23" s="89" t="s">
        <v>15</v>
      </c>
      <c r="AH23" s="39">
        <f>1.8684*$AE$8^0.4*(AH$19/1000)^1.2</f>
        <v>2.1038839570222843</v>
      </c>
      <c r="AI23" s="39">
        <f>1.8684*$AE$8^0.4*(AI$19/1000)^1.2</f>
        <v>2.9713120614374917</v>
      </c>
      <c r="AJ23" s="39">
        <f>1.8684*$AE$8^0.4*(AJ$19/1000)^1.2</f>
        <v>3.4224041418995697</v>
      </c>
      <c r="AK23" s="39">
        <f>1.8684*$AE$8^0.4*(AK$19/1000)^1.2</f>
        <v>3.88365176816319</v>
      </c>
      <c r="AL23" s="97">
        <f>1.8684*$AE$8^0.4*(AL$19/1000)^1.2</f>
        <v>4.833456081072302</v>
      </c>
      <c r="AM23" s="32"/>
      <c r="AN23" s="32"/>
    </row>
    <row r="24" spans="1:40" ht="13.5" thickBot="1">
      <c r="A24" s="15">
        <f>IF($M$3&gt;4,"Not valid",3000)</f>
        <v>3000</v>
      </c>
      <c r="B24" s="52">
        <f>IF($B$4&gt;$B$3,"X",IF($B$3&lt;$B$4,"X",IF($A24="not valid","",($AA$12*(B$13/1000)^$AC$12*$U$2^($AE$12+$AE$13*(B$13/1000))*(($A24/1000)-$M$3*0.8)+$M$3*($AA$15*(B$13/1000)^$AC$15*$U$2^$AE$15)+$M$3*($AA$16*($I$3*(1-$I$4/100))^$AE$17*$U$3^$AE$16*(B$13/1000)^$AC$16))+$M$3*($AA$18*(B$13/1000)^$AC$18*$U$2^$AE$18))))</f>
        <v>1869.0362941976123</v>
      </c>
      <c r="C24" s="53">
        <f>IF($B$4&gt;$B$3,"X",IF($B$3&lt;$B$4,"X",IF($A24="not valid","",($AA$12*(C$13/1000)^$AC$12*$U$2^($AE$12+$AE$13*(C$13/1000))*(($A24/1000)-$M$3*0.8)+$M$3*($AA$15*(C$13/1000)^$AC$15*$U$2^$AE$15)+$M$3*($AA$16*($I$3*(1-$I$4/100))^$AE$17*$U$3^$AE$16*(C$13/1000)^$AC$16))+$M$3*($AA$18*(C$13/1000)^$AC$18*$U$2^$AE$18))))</f>
        <v>2386.518454163968</v>
      </c>
      <c r="D24" s="53">
        <f>IF($B$4&gt;$B$3,"X",IF($B$3&lt;$B$4,"X",IF($A24="not valid","",($AA$12*(D$13/1000)^$AC$12*$U$2^($AE$12+$AE$13*(D$13/1000))*(($A24/1000)-$M$3*0.8)+$M$3*($AA$15*(D$13/1000)^$AC$15*$U$2^$AE$15)+$M$3*($AA$16*($I$3*(1-$I$4/100))^$AE$17*$U$3^$AE$16*(D$13/1000)^$AC$16))+$M$3*($AA$18*(D$13/1000)^$AC$18*$U$2^$AE$18))))</f>
        <v>2880.208999408492</v>
      </c>
      <c r="E24" s="54">
        <f>IF($B$4&gt;$B$3,"X",IF($B$3&lt;$B$4,"X",IF($A24="not valid","",($AA$12*(E$13/1000)^$AC$12*$U$2^($AE$12+$AE$13*(E$13/1000))*(($A24/1000)-$M$3*0.8)+$M$3*($AA$15*(E$13/1000)^$AC$15*$U$2^$AE$15)+$M$3*($AA$16*($I$3*(1-$I$4/100))^$AE$17*$U$3^$AE$16*(E$13/1000)^$AC$16))+$M$3*($AA$18*(E$13/1000)^$AC$18*$U$2^$AE$18))))</f>
        <v>3353.1260328545745</v>
      </c>
      <c r="F24" s="22"/>
      <c r="G24" s="15">
        <f>IF($M$3&gt;4,"",3000)</f>
        <v>3000</v>
      </c>
      <c r="H24" s="52">
        <f>IF($B$4&gt;$B$3,"X",IF($B$3&lt;$B$4,"X",IF($G24="","",($AH$12*(H$13/1000)^$AJ$12*$AE$8^($AL$12+$AL$13*(H$13/1000))*(($G24/1000)-$AK$8*0.8)+$AK$8*($AH$15*(H$13/1000)^$AJ$15*$AE$8^$AL$15)+$AK$8*($AH$16*($AD$9*(1-$I$4/100))^$AL$17*$AE$9^$AL$16*(H$13/1000)^$AJ$16))+$AK$8*($AH$18*(H$13/1000)^$AJ$18*$AE$8^$AL$18))))</f>
        <v>2707.365823049858</v>
      </c>
      <c r="I24" s="53">
        <f>IF($B$4&gt;$B$3,"X",IF($B$3&lt;$B$4,"X",IF($G24="","",($AH$12*(I$13/1000)^$AJ$12*$AE$8^($AL$12+$AL$13*(I$13/1000))*(($G24/1000)-$AK$8*0.8)+$AK$8*($AH$15*(I$13/1000)^$AJ$15*$AE$8^$AL$15)+$AK$8*($AH$16*($AD$9*(1-$I$4/100))^$AL$17*$AE$9^$AL$16*(I$13/1000)^$AJ$16))+$AK$8*($AH$18*(I$13/1000)^$AJ$18*$AE$8^$AL$18))))</f>
        <v>3361.546804966201</v>
      </c>
      <c r="J24" s="53">
        <f>IF($B$4&gt;$B$3,"X",IF($B$3&lt;$B$4,"X",IF($G24="","",($AH$12*(J$13/1000)^$AJ$12*$AE$8^($AL$12+$AL$13*(J$13/1000))*(($G24/1000)-$AK$8*0.8)+$AK$8*($AH$15*(J$13/1000)^$AJ$15*$AE$8^$AL$15)+$AK$8*($AH$16*($AD$9*(1-$I$4/100))^$AL$17*$AE$9^$AL$16*(J$13/1000)^$AJ$16))+$AK$8*($AH$18*(J$13/1000)^$AJ$18*$AE$8^$AL$18))))</f>
        <v>3982.71749049244</v>
      </c>
      <c r="K24" s="54">
        <f>IF($B$4&gt;$B$3,"X",IF($B$3&lt;$B$4,"X",IF($G24="","",($AH$12*(K$13/1000)^$AJ$12*$AE$8^($AL$12+$AL$13*(K$13/1000))*(($G24/1000)-$AK$8*0.8)+$AK$8*($AH$15*(K$13/1000)^$AJ$15*$AE$8^$AL$15)+$AK$8*($AH$16*($AD$9*(1-$I$4/100))^$AL$17*$AE$9^$AL$16*(K$13/1000)^$AJ$16))+$AK$8*($AH$18*(K$13/1000)^$AJ$18*$AE$8^$AL$18))))</f>
        <v>4579.529092160998</v>
      </c>
      <c r="L24" s="22"/>
      <c r="M24" s="15">
        <f>IF($M$3&gt;4,"",3000)</f>
        <v>3000</v>
      </c>
      <c r="N24" s="52">
        <f>IF($B$4&gt;$B$3,"X",IF($B$3&lt;$B$4,"X",IF($M24="","",($AA$28*(N$13/1000)^$AC$28*$AH$8^($AE$28+$AE$29*(N$13/1000))*(($M24/1000)-$AN$8*0.8)+$AN$8*($AA$31*(N$13/1000)^$AC$31*$AH$8^$AE$31)+$AN$8*($AA$32*($AG$9*(1-$I$4/100))^$AE$33*$AH$9^$AE$32*(N$13/1000)^$AC$32))+$AN$8*($AA$34*(N$13/1000)^$AC$34*$AH$8^$AE$34))))</f>
        <v>3234.2260165959888</v>
      </c>
      <c r="O24" s="53">
        <f>IF($B$4&gt;$B$3,"X",IF($B$3&lt;$B$4,"X",IF($M24="","",($AA$28*(O$13/1000)^$AC$28*$AH$8^($AE$28+$AE$29*(O$13/1000))*(($M24/1000)-$AN$8*0.8)+$AN$8*($AA$31*(O$13/1000)^$AC$31*$AH$8^$AE$31)+$AN$8*($AA$32*($AG$9*(1-$I$4/100))^$AE$33*$AH$9^$AE$32*(O$13/1000)^$AC$32))+$AN$8*($AA$34*(O$13/1000)^$AC$34*$AH$8^$AE$34))))</f>
        <v>4052.2207584443295</v>
      </c>
      <c r="P24" s="53">
        <f>IF($B$4&gt;$B$3,"X",IF($B$3&lt;$B$4,"X",IF($M24="","",($AA$28*(P$13/1000)^$AC$28*$AH$8^($AE$28+$AE$29*(P$13/1000))*(($M24/1000)-$AN$8*0.8)+$AN$8*($AA$31*(P$13/1000)^$AC$31*$AH$8^$AE$31)+$AN$8*($AA$32*($AG$9*(1-$I$4/100))^$AE$33*$AH$9^$AE$32*(P$13/1000)^$AC$32))+$AN$8*($AA$34*(P$13/1000)^$AC$34*$AH$8^$AE$34))))</f>
        <v>4832.705910390806</v>
      </c>
      <c r="Q24" s="54">
        <f>IF($B$4&gt;$B$3,"X",IF($B$3&lt;$B$4,"X",IF($M24="","",($AA$28*(Q$13/1000)^$AC$28*$AH$8^($AE$28+$AE$29*(Q$13/1000))*(($M24/1000)-$AN$8*0.8)+$AN$8*($AA$31*(Q$13/1000)^$AC$31*$AH$8^$AE$31)+$AN$8*($AA$32*($AG$9*(1-$I$4/100))^$AE$33*$AH$9^$AE$32*(Q$13/1000)^$AC$32))+$AN$8*($AA$34*(Q$13/1000)^$AC$34*$AH$8^$AE$34))))</f>
        <v>5585.414542321921</v>
      </c>
      <c r="R24" s="22"/>
      <c r="S24" s="15">
        <f>IF($M$3&gt;4,"",3000)</f>
        <v>3000</v>
      </c>
      <c r="T24" s="52">
        <f>IF($B$4&gt;$B$3,"X",IF($B$3&lt;$B$4,"X",IF($S24="","",($AH$28*(T$13/1000)^$AJ$28*$AH$8^($AL$28+$AL$29*(T$13/1000))*(($S24/1000)-$AN$8*0.8)+$AN$8*($AH$31*(T$13/1000)^$AJ$31*$AH$8^$AL$31)+$AN$8*($AH$32*($AG$9*(1-$I$4/100))^$AL$33*$AH$9^$AL$32*(T$13/1000)^$AJ$32))+$AN$8*($AH$34*(T$13/1000)^$AJ$34*$AH$8^$AL$34))))</f>
        <v>4386.114997517248</v>
      </c>
      <c r="U24" s="53">
        <f>IF($B$4&gt;$B$3,"X",IF($B$3&lt;$B$4,"X",IF($S24="","",($AH$28*(U$13/1000)^$AJ$28*$AH$8^($AL$28+$AL$29*(U$13/1000))*(($S24/1000)-$AN$8*0.8)+$AN$8*($AH$31*(U$13/1000)^$AJ$31*$AH$8^$AL$31)+$AN$8*($AH$32*($AG$9*(1-$I$4/100))^$AL$33*$AH$9^$AL$32*(U$13/1000)^$AJ$32))+$AN$8*($AH$34*(U$13/1000)^$AJ$34*$AH$8^$AL$34))))</f>
        <v>5501.1568328602825</v>
      </c>
      <c r="V24" s="53">
        <f>IF($B$4&gt;$B$3,"X",IF($B$3&lt;$B$4,"X",IF($S24="","",($AH$28*(V$13/1000)^$AJ$28*$AH$8^($AL$28+$AL$29*(V$13/1000))*(($S24/1000)-$AN$8*0.8)+$AN$8*($AH$31*(V$13/1000)^$AJ$31*$AH$8^$AL$31)+$AN$8*($AH$32*($AG$9*(1-$I$4/100))^$AL$33*$AH$9^$AL$32*(V$13/1000)^$AJ$32))+$AN$8*($AH$34*(V$13/1000)^$AJ$34*$AH$8^$AL$34))))</f>
        <v>6563.338505689203</v>
      </c>
      <c r="W24" s="54">
        <f>IF($B$4&gt;$B$3,"X",IF($B$3&lt;$B$4,"X",IF($S24="","",($AH$28*(W$13/1000)^$AJ$28*$AH$8^($AL$28+$AL$29*(W$13/1000))*(($S24/1000)-$AN$8*0.8)+$AN$8*($AH$31*(W$13/1000)^$AJ$31*$AH$8^$AL$31)+$AN$8*($AH$32*($AG$9*(1-$I$4/100))^$AL$33*$AH$9^$AL$32*(W$13/1000)^$AJ$32))+$AN$8*($AH$34*(W$13/1000)^$AJ$34*$AH$8^$AL$34))))</f>
        <v>7585.897768409318</v>
      </c>
      <c r="Y24" s="27"/>
      <c r="Z24" s="89" t="s">
        <v>16</v>
      </c>
      <c r="AA24" s="39">
        <f>AA$20/(1.2*$I$3)+$E$4</f>
        <v>-23.432082778164002</v>
      </c>
      <c r="AB24" s="39">
        <f>AB$20/(1.2*$I$3)+$E$4</f>
        <v>-20.094439662933098</v>
      </c>
      <c r="AC24" s="39">
        <f>AC$20/(1.2*$I$3)+$E$4</f>
        <v>-18.583197381056028</v>
      </c>
      <c r="AD24" s="39">
        <f>AD$20/(1.2*$I$3)+$E$4</f>
        <v>-17.153804995069798</v>
      </c>
      <c r="AE24" s="97">
        <f>AE$20/(1.2*$I$3)+$E$4</f>
        <v>-14.495187468895104</v>
      </c>
      <c r="AF24" s="32"/>
      <c r="AG24" s="89" t="s">
        <v>16</v>
      </c>
      <c r="AH24" s="39">
        <f>AH$20/(1.2*$AD$9)+$AD$8</f>
        <v>-1.676346489600931</v>
      </c>
      <c r="AI24" s="39">
        <f>AI$20/(1.2*$AD$9)+$AD$8</f>
        <v>4.436272422660352</v>
      </c>
      <c r="AJ24" s="39">
        <f>AJ$20/(1.2*$AD$9)+$AD$8</f>
        <v>7.181190424379714</v>
      </c>
      <c r="AK24" s="39">
        <f>AK$20/(1.2*$AD$9)+$AD$8</f>
        <v>9.765500579413334</v>
      </c>
      <c r="AL24" s="97">
        <f>AL$20/(1.2*$AD$9)+$AD$8</f>
        <v>14.543536524202743</v>
      </c>
      <c r="AM24" s="32"/>
      <c r="AN24" s="32"/>
    </row>
    <row r="25" spans="1:40" ht="12.75">
      <c r="A25" s="20"/>
      <c r="B25" s="21"/>
      <c r="C25" s="21"/>
      <c r="D25" s="21"/>
      <c r="E25" s="21"/>
      <c r="F25" s="22"/>
      <c r="G25" s="20"/>
      <c r="H25" s="21"/>
      <c r="I25" s="21"/>
      <c r="J25" s="21"/>
      <c r="K25" s="21"/>
      <c r="L25" s="22"/>
      <c r="M25" s="20"/>
      <c r="N25" s="21"/>
      <c r="O25" s="21"/>
      <c r="P25" s="21"/>
      <c r="Q25" s="21"/>
      <c r="R25" s="22"/>
      <c r="S25" s="20"/>
      <c r="T25" s="21"/>
      <c r="U25" s="21"/>
      <c r="V25" s="21"/>
      <c r="W25" s="21"/>
      <c r="Y25" s="27"/>
      <c r="Z25" s="98" t="s">
        <v>17</v>
      </c>
      <c r="AA25" s="99">
        <f>AA$21/(1.2*AA$23)+$E$3</f>
        <v>72.01475753480774</v>
      </c>
      <c r="AB25" s="99">
        <f>AB$21/(1.2*AB$23)+$E$3</f>
        <v>68.64193636009304</v>
      </c>
      <c r="AC25" s="99">
        <f>AC$21/(1.2*AC$23)+$E$3</f>
        <v>67.32496172239937</v>
      </c>
      <c r="AD25" s="99">
        <f>AD$21/(1.2*AD$23)+$E$3</f>
        <v>66.17713091537155</v>
      </c>
      <c r="AE25" s="100">
        <f>AE$21/(1.2*AE$23)+$E$3</f>
        <v>64.2562435248175</v>
      </c>
      <c r="AF25" s="32"/>
      <c r="AG25" s="98" t="s">
        <v>17</v>
      </c>
      <c r="AH25" s="99">
        <f>AH$21/(1.2*AH$23)+$AJ$8</f>
        <v>73.49623730791609</v>
      </c>
      <c r="AI25" s="99">
        <f>AI$21/(1.2*AI$23)+$AJ$8</f>
        <v>71.88251370050281</v>
      </c>
      <c r="AJ25" s="99">
        <f>AJ$21/(1.2*AJ$23)+$AJ$8</f>
        <v>71.23595084965251</v>
      </c>
      <c r="AK25" s="99">
        <f>AK$21/(1.2*AK$23)+$AJ$8</f>
        <v>70.66441125954506</v>
      </c>
      <c r="AL25" s="100">
        <f>AL$21/(1.2*AL$23)+$AJ$8</f>
        <v>69.6904091892465</v>
      </c>
      <c r="AM25" s="32"/>
      <c r="AN25" s="32"/>
    </row>
    <row r="26" spans="1:40" ht="14.25">
      <c r="A26" s="41" t="s">
        <v>44</v>
      </c>
      <c r="B26" s="21"/>
      <c r="C26" s="21"/>
      <c r="D26" s="22"/>
      <c r="E26" s="22"/>
      <c r="F26" s="22"/>
      <c r="G26" s="44"/>
      <c r="H26" s="44"/>
      <c r="I26" s="44"/>
      <c r="J26" s="22"/>
      <c r="K26" s="22"/>
      <c r="L26" s="22"/>
      <c r="M26" s="22"/>
      <c r="N26" s="22"/>
      <c r="O26" s="24"/>
      <c r="P26" s="24"/>
      <c r="Q26" s="24"/>
      <c r="R26" s="22"/>
      <c r="S26" s="22"/>
      <c r="T26" s="22"/>
      <c r="U26" s="22"/>
      <c r="V26" s="22"/>
      <c r="W26" s="2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3.5" thickBot="1">
      <c r="A27" s="26"/>
      <c r="B27" s="22"/>
      <c r="C27" s="25"/>
      <c r="D27" s="22"/>
      <c r="E27" s="44"/>
      <c r="F27" s="22"/>
      <c r="G27" s="44"/>
      <c r="H27" s="44"/>
      <c r="I27" s="44"/>
      <c r="J27" s="22"/>
      <c r="K27" s="22"/>
      <c r="L27" s="22"/>
      <c r="M27" s="22"/>
      <c r="N27" s="22"/>
      <c r="O27" s="24"/>
      <c r="P27" s="24"/>
      <c r="Q27" s="24"/>
      <c r="R27" s="22"/>
      <c r="S27" s="22"/>
      <c r="T27" s="22"/>
      <c r="U27" s="22"/>
      <c r="V27" s="22"/>
      <c r="W27" s="22"/>
      <c r="Z27" s="65" t="s">
        <v>47</v>
      </c>
      <c r="AA27" s="88"/>
      <c r="AB27" s="88"/>
      <c r="AC27" s="88"/>
      <c r="AD27" s="88"/>
      <c r="AE27" s="62"/>
      <c r="AG27" s="65" t="s">
        <v>29</v>
      </c>
      <c r="AH27" s="88"/>
      <c r="AI27" s="88"/>
      <c r="AJ27" s="88"/>
      <c r="AK27" s="88"/>
      <c r="AL27" s="62"/>
      <c r="AM27" s="32"/>
      <c r="AN27" s="32"/>
    </row>
    <row r="28" spans="1:40" ht="12.75">
      <c r="A28" s="55"/>
      <c r="B28" s="56">
        <v>300</v>
      </c>
      <c r="C28" s="56">
        <v>400</v>
      </c>
      <c r="D28" s="56">
        <v>500</v>
      </c>
      <c r="E28" s="57">
        <v>600</v>
      </c>
      <c r="F28" s="29"/>
      <c r="G28" s="58"/>
      <c r="H28" s="56">
        <v>300</v>
      </c>
      <c r="I28" s="56">
        <v>400</v>
      </c>
      <c r="J28" s="56">
        <v>500</v>
      </c>
      <c r="K28" s="57">
        <v>600</v>
      </c>
      <c r="L28" s="49"/>
      <c r="M28" s="58"/>
      <c r="N28" s="56">
        <v>300</v>
      </c>
      <c r="O28" s="56">
        <v>400</v>
      </c>
      <c r="P28" s="56">
        <v>500</v>
      </c>
      <c r="Q28" s="57">
        <v>600</v>
      </c>
      <c r="R28" s="49"/>
      <c r="S28" s="58"/>
      <c r="T28" s="56">
        <v>300</v>
      </c>
      <c r="U28" s="56">
        <v>400</v>
      </c>
      <c r="V28" s="56">
        <v>500</v>
      </c>
      <c r="W28" s="57">
        <v>600</v>
      </c>
      <c r="Z28" s="89" t="s">
        <v>13</v>
      </c>
      <c r="AA28" s="90">
        <v>13.55197</v>
      </c>
      <c r="AB28" s="91" t="s">
        <v>0</v>
      </c>
      <c r="AC28" s="35">
        <v>0.82567</v>
      </c>
      <c r="AD28" s="91" t="s">
        <v>1</v>
      </c>
      <c r="AE28" s="93">
        <v>1.34389</v>
      </c>
      <c r="AG28" s="89" t="s">
        <v>13</v>
      </c>
      <c r="AH28" s="101">
        <v>18.01619</v>
      </c>
      <c r="AI28" s="91" t="s">
        <v>0</v>
      </c>
      <c r="AJ28" s="35">
        <v>0.80623</v>
      </c>
      <c r="AK28" s="91" t="s">
        <v>1</v>
      </c>
      <c r="AL28" s="93">
        <v>1.35193</v>
      </c>
      <c r="AM28" s="32"/>
      <c r="AN28" s="32"/>
    </row>
    <row r="29" spans="1:40" ht="12.75">
      <c r="A29" s="59" t="s">
        <v>18</v>
      </c>
      <c r="B29" s="60">
        <f>IF(M3&lt;1,0,(AA$22*(AA$24+273)+AA$23*(AA$25+273))/(AA$22+AA$23)-273)</f>
        <v>-9.105497776807567</v>
      </c>
      <c r="C29" s="60">
        <f>IF(M3&lt;1,0,(AB$22*(AB$24+273)+AB$23*(AB$25+273))/(AB$22+AB$23)-273)</f>
        <v>-2.3798385526441166</v>
      </c>
      <c r="D29" s="60">
        <f>IF(M3&lt;1,0,(AD$22*(AD$24+273)+AD$23*(AD$25+273))/(AD$22+AD$23)-273)</f>
        <v>3.3337955661479555</v>
      </c>
      <c r="E29" s="61">
        <f>IF(M3&lt;1,0,(AE$22*(AE$24+273)+AE$23*(AE$25+273))/(AE$22+AE$23)-273)</f>
        <v>8.234966266928666</v>
      </c>
      <c r="F29" s="29"/>
      <c r="G29" s="59" t="s">
        <v>18</v>
      </c>
      <c r="H29" s="60">
        <f>IF(M3&lt;1,0,(AH$22*(AH$24+273)+AH$23*(AH$25+273))/(AH$22+AH$23)-273)</f>
        <v>9.537188274400421</v>
      </c>
      <c r="I29" s="60">
        <f>IF(M3&lt;1,0,(AI$22*(AI$24+273)+AI$23*(AI$25+273))/(AI$22+AI$23)-273)</f>
        <v>17.822128611154994</v>
      </c>
      <c r="J29" s="60">
        <f>IF(M3&lt;1,0,(AK$22*(AK$24+273)+AK$23*(AK$25+273))/(AK$22+AK$23)-273)</f>
        <v>24.65566347105778</v>
      </c>
      <c r="K29" s="61">
        <f>IF(M3&lt;1,0,(AL$22*(AL$24+273)+AL$23*(AL$25+273))/(AL$22+AL$23)-273)</f>
        <v>30.37807375477695</v>
      </c>
      <c r="L29" s="49"/>
      <c r="M29" s="59" t="s">
        <v>18</v>
      </c>
      <c r="N29" s="60">
        <f>IF(M3&lt;1,0,(AA$38*(AA$40+273)+AA$39*(AA$41+273))/(AA$38+AA$39)-273)</f>
        <v>9.67472641780688</v>
      </c>
      <c r="O29" s="60">
        <f>IF(M3&lt;1,0,(AB$38*(AB$40+273)+AB$39*(AB$41+273))/(AB$38+AB$39)-273)</f>
        <v>18.968289048927545</v>
      </c>
      <c r="P29" s="60">
        <f>IF(M3&lt;1,0,(AD$38*(AD$40+273)+AD$39*(AD$41+273))/(AD$38+AD$39)-273)</f>
        <v>26.738305250062012</v>
      </c>
      <c r="Q29" s="61">
        <f>IF(M3&lt;1,0,(AE$38*(AE$40+273)+AE$39*(AE$41+273))/(AE$38+AE$39)-273)</f>
        <v>33.32197560430632</v>
      </c>
      <c r="R29" s="49"/>
      <c r="S29" s="59" t="s">
        <v>18</v>
      </c>
      <c r="T29" s="60">
        <f>IF(M3&lt;1,0,(AH$38*(AH$40+273)+AH$39*(AH$41+273))/(AH$38+AH$39)-273)</f>
        <v>9.67416174521145</v>
      </c>
      <c r="U29" s="60">
        <f>IF(M3&lt;1,0,(AI$38*(AI$40+273)+AI$39*(AI$41+273))/(AI$38+AI$39)-273)</f>
        <v>18.96791017058547</v>
      </c>
      <c r="V29" s="60">
        <f>IF(M3&lt;1,0,(AK$38*(AK$40+273)+AK$39*(AK$41+273))/(AK$38+AK$39)-273)</f>
        <v>26.73810232685213</v>
      </c>
      <c r="W29" s="61">
        <f>IF(M3&lt;1,0,(AL$38*(AL$40+273)+AL$39*(AL$41+273))/(AL$38+AL$39)-273)</f>
        <v>33.32193438646874</v>
      </c>
      <c r="Z29" s="66"/>
      <c r="AA29" s="29"/>
      <c r="AB29" s="29"/>
      <c r="AC29" s="29"/>
      <c r="AD29" s="91" t="s">
        <v>2</v>
      </c>
      <c r="AE29" s="93">
        <v>0.00194</v>
      </c>
      <c r="AG29" s="66"/>
      <c r="AH29" s="29"/>
      <c r="AI29" s="29"/>
      <c r="AJ29" s="29"/>
      <c r="AK29" s="91" t="s">
        <v>2</v>
      </c>
      <c r="AL29" s="102">
        <v>-9.2E-05</v>
      </c>
      <c r="AM29" s="32"/>
      <c r="AN29" s="32"/>
    </row>
    <row r="30" spans="1:40" ht="12.75">
      <c r="A30" s="45"/>
      <c r="B30" s="42" t="str">
        <f>IF(B29&lt;($E$3-8),"X","")</f>
        <v>X</v>
      </c>
      <c r="C30" s="42" t="str">
        <f>IF(C29&lt;($E$3-8),"X","")</f>
        <v>X</v>
      </c>
      <c r="D30" s="42" t="str">
        <f>IF(D29&lt;($E$3-8),"X","")</f>
        <v>X</v>
      </c>
      <c r="E30" s="46" t="str">
        <f>IF(E29&lt;($E$3-8),"X","")</f>
        <v>X</v>
      </c>
      <c r="F30" s="29"/>
      <c r="G30" s="47">
        <f>IF(G29&lt;($E$3-8),"X","")</f>
      </c>
      <c r="H30" s="42" t="str">
        <f>IF(H29&lt;($E$3-8),"X","")</f>
        <v>X</v>
      </c>
      <c r="I30" s="42">
        <f>IF(I29&lt;($E$3-8),"X","")</f>
      </c>
      <c r="J30" s="42">
        <f>IF(J29&lt;($E$3-8),"X","")</f>
      </c>
      <c r="K30" s="46">
        <f>IF(K29&lt;($E$3-8),"X","")</f>
      </c>
      <c r="L30" s="49"/>
      <c r="M30" s="47">
        <f>IF(M29&lt;($E$3-8),"X","")</f>
      </c>
      <c r="N30" s="42" t="str">
        <f>IF(N29&lt;($E$3-8),"X","")</f>
        <v>X</v>
      </c>
      <c r="O30" s="42">
        <f>IF(O29&lt;($E$3-8),"X","")</f>
      </c>
      <c r="P30" s="42">
        <f>IF(P29&lt;($E$3-8),"X","")</f>
      </c>
      <c r="Q30" s="46">
        <f>IF(Q29&lt;($E$3-8),"X","")</f>
      </c>
      <c r="R30" s="49"/>
      <c r="S30" s="47">
        <f>IF(S29&lt;($E$3-8),"X","")</f>
      </c>
      <c r="T30" s="42" t="str">
        <f>IF(T29&lt;($E$3-8),"X","")</f>
        <v>X</v>
      </c>
      <c r="U30" s="42">
        <f>IF(U29&lt;($E$3-8),"X","")</f>
      </c>
      <c r="V30" s="42">
        <f>IF(V29&lt;($E$3-8),"X","")</f>
      </c>
      <c r="W30" s="46">
        <f>IF(W29&lt;($E$3-8),"X","")</f>
      </c>
      <c r="Z30" s="66" t="s">
        <v>48</v>
      </c>
      <c r="AA30" s="29"/>
      <c r="AB30" s="29"/>
      <c r="AC30" s="29"/>
      <c r="AD30" s="29"/>
      <c r="AE30" s="63"/>
      <c r="AG30" s="66" t="s">
        <v>30</v>
      </c>
      <c r="AH30" s="29"/>
      <c r="AI30" s="29"/>
      <c r="AJ30" s="29"/>
      <c r="AK30" s="29"/>
      <c r="AL30" s="63"/>
      <c r="AM30" s="32"/>
      <c r="AN30" s="32"/>
    </row>
    <row r="31" spans="1:40" ht="15.75" customHeight="1" thickBot="1">
      <c r="A31" s="16"/>
      <c r="B31" s="17" t="str">
        <f>IF(B29&lt;($E$3-2),"X","")</f>
        <v>X</v>
      </c>
      <c r="C31" s="17" t="str">
        <f>IF(C29&lt;($E$3-2),"X","")</f>
        <v>X</v>
      </c>
      <c r="D31" s="17" t="str">
        <f>IF(D29&lt;($E$3-2),"X","")</f>
        <v>X</v>
      </c>
      <c r="E31" s="18" t="str">
        <f>IF(E29&lt;($E$3-2),"X","")</f>
        <v>X</v>
      </c>
      <c r="F31" s="29"/>
      <c r="G31" s="48"/>
      <c r="H31" s="17" t="str">
        <f>IF(H29&lt;($E$3-2),"X","")</f>
        <v>X</v>
      </c>
      <c r="I31" s="17" t="str">
        <f>IF(I29&lt;($E$3-2),"X","")</f>
        <v>X</v>
      </c>
      <c r="J31" s="17">
        <f>IF(J29&lt;($E$3-2),"X","")</f>
      </c>
      <c r="K31" s="18">
        <f>IF(K29&lt;($E$3-2),"X","")</f>
      </c>
      <c r="L31" s="49"/>
      <c r="M31" s="48"/>
      <c r="N31" s="17" t="str">
        <f>IF(N29&lt;($E$3-2),"X","")</f>
        <v>X</v>
      </c>
      <c r="O31" s="17">
        <f>IF(O29&lt;($E$3-2),"X","")</f>
      </c>
      <c r="P31" s="17">
        <f>IF(P29&lt;($E$3-2),"X","")</f>
      </c>
      <c r="Q31" s="18">
        <f>IF(Q29&lt;($E$3-2),"X","")</f>
      </c>
      <c r="R31" s="49"/>
      <c r="S31" s="48"/>
      <c r="T31" s="17" t="str">
        <f>IF(T29&lt;($E$3-2),"X","")</f>
        <v>X</v>
      </c>
      <c r="U31" s="17">
        <f>IF(U29&lt;($E$3-2),"X","")</f>
      </c>
      <c r="V31" s="17">
        <f>IF(V29&lt;($E$3-2),"X","")</f>
      </c>
      <c r="W31" s="18">
        <f>IF(W29&lt;($E$3-2),"X","")</f>
      </c>
      <c r="Z31" s="89" t="s">
        <v>12</v>
      </c>
      <c r="AA31" s="29">
        <v>5.93046</v>
      </c>
      <c r="AB31" s="28" t="s">
        <v>3</v>
      </c>
      <c r="AC31" s="29">
        <v>0.80213</v>
      </c>
      <c r="AD31" s="28" t="s">
        <v>4</v>
      </c>
      <c r="AE31" s="63">
        <v>1.29719</v>
      </c>
      <c r="AG31" s="89" t="s">
        <v>12</v>
      </c>
      <c r="AH31" s="29">
        <v>9.8856</v>
      </c>
      <c r="AI31" s="28" t="s">
        <v>3</v>
      </c>
      <c r="AJ31" s="29">
        <v>0.8595</v>
      </c>
      <c r="AK31" s="28" t="s">
        <v>4</v>
      </c>
      <c r="AL31" s="63">
        <v>1.3411</v>
      </c>
      <c r="AM31" s="32"/>
      <c r="AN31" s="32"/>
    </row>
    <row r="32" spans="1:40" ht="15.75" customHeight="1">
      <c r="A32" s="28"/>
      <c r="B32" s="24"/>
      <c r="C32" s="24"/>
      <c r="D32" s="24"/>
      <c r="E32" s="24"/>
      <c r="F32" s="29"/>
      <c r="G32" s="24"/>
      <c r="H32" s="24"/>
      <c r="I32" s="24"/>
      <c r="J32" s="24"/>
      <c r="K32" s="24"/>
      <c r="L32" s="29"/>
      <c r="M32" s="24"/>
      <c r="N32" s="24"/>
      <c r="O32" s="24"/>
      <c r="P32" s="24"/>
      <c r="Q32" s="24"/>
      <c r="R32" s="29"/>
      <c r="S32" s="24"/>
      <c r="T32" s="24"/>
      <c r="U32" s="24"/>
      <c r="V32" s="24"/>
      <c r="W32" s="24"/>
      <c r="Z32" s="89" t="s">
        <v>6</v>
      </c>
      <c r="AA32" s="29">
        <v>3.21447</v>
      </c>
      <c r="AB32" s="28" t="s">
        <v>10</v>
      </c>
      <c r="AC32" s="29">
        <v>0.53828</v>
      </c>
      <c r="AD32" s="28" t="s">
        <v>2</v>
      </c>
      <c r="AE32" s="63">
        <v>0.97848</v>
      </c>
      <c r="AG32" s="89" t="s">
        <v>6</v>
      </c>
      <c r="AH32" s="29">
        <v>3.2145</v>
      </c>
      <c r="AI32" s="28" t="s">
        <v>10</v>
      </c>
      <c r="AJ32" s="29">
        <v>0.5383</v>
      </c>
      <c r="AK32" s="28" t="s">
        <v>2</v>
      </c>
      <c r="AL32" s="63">
        <v>0.97848</v>
      </c>
      <c r="AM32" s="32"/>
      <c r="AN32" s="32"/>
    </row>
    <row r="33" spans="1:57" s="5" customFormat="1" ht="12.75" customHeight="1">
      <c r="A33" s="32"/>
      <c r="B33" s="70" t="str">
        <f>IF($I$3&lt;1,"",IF(MIN(B29,C29,D29,E29,H29,I29,J29,K29,N29,O29,P29,Q29)&lt;($E$3-8),"NOTE! LOW TEMPERATURE!",""))</f>
        <v>NOTE! LOW TEMPERATURE!</v>
      </c>
      <c r="C33" s="70"/>
      <c r="D33" s="70"/>
      <c r="E33" s="70"/>
      <c r="F33" s="70"/>
      <c r="G33" s="70"/>
      <c r="H33" s="70"/>
      <c r="I33" s="70"/>
      <c r="J33" s="70"/>
      <c r="K33" s="70"/>
      <c r="L33" s="32"/>
      <c r="M33" s="71" t="str">
        <f>IF($I$3&lt;1,"",IF(MIN(B29,C29,D29,E29,H29,I29,J29,K29,N29,O29,P29,Q29)&lt;($E$3-2),"NOTE! TEMPERATURE! ",""))</f>
        <v>NOTE! TEMPERATURE! </v>
      </c>
      <c r="N33" s="71"/>
      <c r="O33" s="71"/>
      <c r="P33" s="71"/>
      <c r="Q33" s="71"/>
      <c r="R33" s="71"/>
      <c r="S33" s="71"/>
      <c r="T33" s="71"/>
      <c r="U33" s="71"/>
      <c r="V33" s="71"/>
      <c r="W33" s="32"/>
      <c r="X33" s="32"/>
      <c r="Y33" s="32"/>
      <c r="Z33" s="89"/>
      <c r="AA33" s="29"/>
      <c r="AB33" s="29"/>
      <c r="AC33" s="29"/>
      <c r="AD33" s="28" t="s">
        <v>7</v>
      </c>
      <c r="AE33" s="63">
        <v>0.52763</v>
      </c>
      <c r="AF33" s="22"/>
      <c r="AG33" s="89"/>
      <c r="AH33" s="29"/>
      <c r="AI33" s="29"/>
      <c r="AJ33" s="29"/>
      <c r="AK33" s="28" t="s">
        <v>7</v>
      </c>
      <c r="AL33" s="63">
        <v>0.52763</v>
      </c>
      <c r="AM33" s="32"/>
      <c r="AN33" s="32"/>
      <c r="AO33" s="22"/>
      <c r="AP33" s="22"/>
      <c r="AQ33" s="22"/>
      <c r="AR33" s="40"/>
      <c r="AS33" s="40"/>
      <c r="AT33" s="40"/>
      <c r="AU33" s="40"/>
      <c r="AV33" s="40"/>
      <c r="AW33" s="40"/>
      <c r="AX33" s="40"/>
      <c r="AY33" s="40"/>
      <c r="AZ33" s="32"/>
      <c r="BA33" s="32"/>
      <c r="BB33" s="32"/>
      <c r="BC33" s="32"/>
      <c r="BD33" s="32"/>
      <c r="BE33" s="32"/>
    </row>
    <row r="34" spans="1:57" s="5" customFormat="1" ht="12.75" customHeight="1">
      <c r="A34" s="32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32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32"/>
      <c r="X34" s="32"/>
      <c r="Y34" s="32"/>
      <c r="Z34" s="89" t="s">
        <v>11</v>
      </c>
      <c r="AA34" s="29">
        <v>1.99223</v>
      </c>
      <c r="AB34" s="28" t="s">
        <v>8</v>
      </c>
      <c r="AC34" s="29">
        <v>1.21274</v>
      </c>
      <c r="AD34" s="28" t="s">
        <v>9</v>
      </c>
      <c r="AE34" s="63">
        <v>1.40911</v>
      </c>
      <c r="AF34" s="22"/>
      <c r="AG34" s="89" t="s">
        <v>11</v>
      </c>
      <c r="AH34" s="29">
        <v>1.99223</v>
      </c>
      <c r="AI34" s="28" t="s">
        <v>8</v>
      </c>
      <c r="AJ34" s="29">
        <v>1.21274</v>
      </c>
      <c r="AK34" s="28" t="s">
        <v>9</v>
      </c>
      <c r="AL34" s="63">
        <v>1.40911</v>
      </c>
      <c r="AM34" s="32"/>
      <c r="AN34" s="32"/>
      <c r="AO34" s="22"/>
      <c r="AP34" s="22"/>
      <c r="AQ34" s="22"/>
      <c r="AR34" s="40"/>
      <c r="AS34" s="40"/>
      <c r="AT34" s="40"/>
      <c r="AU34" s="40"/>
      <c r="AV34" s="40"/>
      <c r="AW34" s="40"/>
      <c r="AX34" s="40"/>
      <c r="AY34" s="40"/>
      <c r="AZ34" s="32"/>
      <c r="BA34" s="32"/>
      <c r="BB34" s="32"/>
      <c r="BC34" s="32"/>
      <c r="BD34" s="32"/>
      <c r="BE34" s="32"/>
    </row>
    <row r="35" spans="22:51" s="32" customFormat="1" ht="12.75" customHeight="1">
      <c r="V35" s="27"/>
      <c r="Z35" s="66"/>
      <c r="AA35" s="36">
        <v>300</v>
      </c>
      <c r="AB35" s="36">
        <v>400</v>
      </c>
      <c r="AC35" s="36">
        <v>450</v>
      </c>
      <c r="AD35" s="36">
        <v>500</v>
      </c>
      <c r="AE35" s="94">
        <v>600</v>
      </c>
      <c r="AF35" s="22"/>
      <c r="AG35" s="66"/>
      <c r="AH35" s="36">
        <v>300</v>
      </c>
      <c r="AI35" s="36">
        <v>400</v>
      </c>
      <c r="AJ35" s="36">
        <v>450</v>
      </c>
      <c r="AK35" s="36">
        <v>500</v>
      </c>
      <c r="AL35" s="94">
        <v>600</v>
      </c>
      <c r="AO35" s="22"/>
      <c r="AP35" s="22"/>
      <c r="AQ35" s="22"/>
      <c r="AR35" s="40"/>
      <c r="AS35" s="40"/>
      <c r="AT35" s="40"/>
      <c r="AU35" s="40"/>
      <c r="AV35" s="40"/>
      <c r="AW35" s="40"/>
      <c r="AX35" s="40"/>
      <c r="AY35" s="40"/>
    </row>
    <row r="36" spans="22:51" s="32" customFormat="1" ht="12.75" customHeight="1">
      <c r="V36" s="22"/>
      <c r="Z36" s="89" t="s">
        <v>27</v>
      </c>
      <c r="AA36" s="37">
        <f>$AA$32*$AD$9^$AE$33*$AH$9^$AE$32*(AA$35/1000)^$AC$32</f>
        <v>647.3605671853234</v>
      </c>
      <c r="AB36" s="37">
        <f>$AA$32*$AD$9^$AE$33*$AH$9^$AE$32*(AB$35/1000)^$AC$32</f>
        <v>755.7849938716936</v>
      </c>
      <c r="AC36" s="37">
        <f>$AA$32*$AD$9^$AE$33*$AH$9^$AE$32*(AC$35/1000)^$AC$32</f>
        <v>805.2535433586144</v>
      </c>
      <c r="AD36" s="37">
        <f>$AA$32*$AD$9^$AE$33*$AH$9^$AE$32*(AD$35/1000)^$AC$32</f>
        <v>852.242104684395</v>
      </c>
      <c r="AE36" s="95">
        <f>$AA$32*$AD$9^$AE$33*$AH$9^$AE$32*(AE$35/1000)^$AC$32</f>
        <v>940.1229781087718</v>
      </c>
      <c r="AG36" s="89" t="s">
        <v>27</v>
      </c>
      <c r="AH36" s="37">
        <f>$AH$32*$AD$9^$AL$33*$AH$9^$AL$32*(AH$35/1000)^$AJ$32</f>
        <v>647.3510208227401</v>
      </c>
      <c r="AI36" s="37">
        <f>$AH$32*$AD$9^$AL$33*$AH$9^$AL$32*(AI$35/1000)^$AJ$32</f>
        <v>755.7781970825079</v>
      </c>
      <c r="AJ36" s="37">
        <f>$AH$32*$AD$9^$AL$33*$AH$9^$AL$32*(AJ$35/1000)^$AJ$32</f>
        <v>805.2481985871099</v>
      </c>
      <c r="AK36" s="37">
        <f>$AH$32*$AD$9^$AL$33*$AH$9^$AL$32*(AK$35/1000)^$AJ$32</f>
        <v>852.2382438754099</v>
      </c>
      <c r="AL36" s="95">
        <f>$AH$32*$AD$9^$AL$33*$AH$9^$AL$32*(AL$35/1000)^$AJ$32</f>
        <v>940.1221472681497</v>
      </c>
      <c r="AO36" s="22"/>
      <c r="AP36" s="22"/>
      <c r="AQ36" s="22"/>
      <c r="AR36" s="40"/>
      <c r="AS36" s="40"/>
      <c r="AT36" s="40"/>
      <c r="AU36" s="40"/>
      <c r="AV36" s="40"/>
      <c r="AW36" s="40"/>
      <c r="AX36" s="40"/>
      <c r="AY36" s="40"/>
    </row>
    <row r="37" spans="22:51" s="32" customFormat="1" ht="12.75" customHeight="1">
      <c r="V37" s="22"/>
      <c r="X37" s="22"/>
      <c r="Y37" s="22"/>
      <c r="Z37" s="89" t="s">
        <v>28</v>
      </c>
      <c r="AA37" s="37">
        <f>$AA$34*(AA$35/1000)^$AC$34*$AE$8^$AE$34</f>
        <v>114.08021713417997</v>
      </c>
      <c r="AB37" s="37">
        <f>$AA$34*(AB$35/1000)^$AC$34*$AE$8^$AE$34</f>
        <v>161.70689664825238</v>
      </c>
      <c r="AC37" s="37">
        <f>$AA$34*(AC$35/1000)^$AC$34*$AE$8^$AE$34</f>
        <v>186.5362546730521</v>
      </c>
      <c r="AD37" s="37">
        <f>$AA$34*(AD$35/1000)^$AC$34*$AE$8^$AE$34</f>
        <v>211.96062514635307</v>
      </c>
      <c r="AE37" s="95">
        <f>$AA$34*(AE$35/1000)^$AC$34*$AE$8^$AE$34</f>
        <v>264.41217954633186</v>
      </c>
      <c r="AG37" s="89" t="s">
        <v>28</v>
      </c>
      <c r="AH37" s="37">
        <f>$AH$34*(AH$35/1000)^$AJ$34*$AE$8^$AL$34</f>
        <v>114.08021713417997</v>
      </c>
      <c r="AI37" s="37">
        <f>$AH$34*(AI$35/1000)^$AJ$34*$AE$8^$AL$34</f>
        <v>161.70689664825238</v>
      </c>
      <c r="AJ37" s="37">
        <f>$AH$34*(AJ$35/1000)^$AJ$34*$AE$8^$AL$34</f>
        <v>186.5362546730521</v>
      </c>
      <c r="AK37" s="37">
        <f>$AH$34*(AK$35/1000)^$AJ$34*$AE$8^$AL$34</f>
        <v>211.96062514635307</v>
      </c>
      <c r="AL37" s="95">
        <f>$AH$34*(AL$35/1000)^$AJ$34*$AE$8^$AL$34</f>
        <v>264.41217954633186</v>
      </c>
      <c r="AO37" s="22"/>
      <c r="AP37" s="22"/>
      <c r="AQ37" s="22"/>
      <c r="AR37" s="40"/>
      <c r="AS37" s="40"/>
      <c r="AT37" s="40"/>
      <c r="AU37" s="40"/>
      <c r="AV37" s="40"/>
      <c r="AW37" s="40"/>
      <c r="AX37" s="40"/>
      <c r="AY37" s="40"/>
    </row>
    <row r="38" spans="22:51" s="32" customFormat="1" ht="12.75" customHeight="1">
      <c r="V38" s="22"/>
      <c r="W38" s="26"/>
      <c r="X38" s="22"/>
      <c r="Y38" s="22"/>
      <c r="Z38" s="89" t="s">
        <v>14</v>
      </c>
      <c r="AA38" s="38">
        <f>$I$3</f>
        <v>12</v>
      </c>
      <c r="AB38" s="38">
        <f>$I$3</f>
        <v>12</v>
      </c>
      <c r="AC38" s="38">
        <f>$I$3</f>
        <v>12</v>
      </c>
      <c r="AD38" s="38">
        <f>$I$3</f>
        <v>12</v>
      </c>
      <c r="AE38" s="96">
        <f>$I$3</f>
        <v>12</v>
      </c>
      <c r="AG38" s="89" t="s">
        <v>14</v>
      </c>
      <c r="AH38" s="38">
        <f>$I$3</f>
        <v>12</v>
      </c>
      <c r="AI38" s="38">
        <f>$I$3</f>
        <v>12</v>
      </c>
      <c r="AJ38" s="38">
        <f>$I$3</f>
        <v>12</v>
      </c>
      <c r="AK38" s="38">
        <f>$I$3</f>
        <v>12</v>
      </c>
      <c r="AL38" s="96">
        <f>$I$3</f>
        <v>12</v>
      </c>
      <c r="AO38" s="22"/>
      <c r="AP38" s="22"/>
      <c r="AQ38" s="22"/>
      <c r="AR38" s="40"/>
      <c r="AS38" s="40"/>
      <c r="AT38" s="40"/>
      <c r="AU38" s="40"/>
      <c r="AV38" s="40"/>
      <c r="AW38" s="40"/>
      <c r="AX38" s="40"/>
      <c r="AY38" s="40"/>
    </row>
    <row r="39" spans="22:51" s="32" customFormat="1" ht="12.75" customHeight="1">
      <c r="V39" s="22"/>
      <c r="Z39" s="89" t="s">
        <v>15</v>
      </c>
      <c r="AA39" s="39">
        <f>1.686*$AE$8^0.4*(AA$35/1000)^1.2*1.1</f>
        <v>2.0883446728182014</v>
      </c>
      <c r="AB39" s="39">
        <f>1.686*$AE$8^0.4*(AB$35/1000)^1.2*1.1</f>
        <v>2.949365954368428</v>
      </c>
      <c r="AC39" s="39">
        <f>1.686*$AE$8^0.4*(AC$35/1000)^1.2*1.1</f>
        <v>3.397126269303651</v>
      </c>
      <c r="AD39" s="39">
        <f>1.686*$AE$8^0.4*(AD$35/1000)^1.2*1.1</f>
        <v>3.8549671211921703</v>
      </c>
      <c r="AE39" s="97">
        <f>1.686*$AE$8^0.4*(AE$35/1000)^1.2*1.1</f>
        <v>4.797756180666179</v>
      </c>
      <c r="AG39" s="89" t="s">
        <v>15</v>
      </c>
      <c r="AH39" s="39">
        <f>1.686*$AE$8^0.4*(AH$35/1000)^1.2*1.1</f>
        <v>2.0883446728182014</v>
      </c>
      <c r="AI39" s="39">
        <f>1.686*$AE$8^0.4*(AI$35/1000)^1.2*1.1</f>
        <v>2.949365954368428</v>
      </c>
      <c r="AJ39" s="39">
        <f>1.686*$AE$8^0.4*(AJ$35/1000)^1.2*1.1</f>
        <v>3.397126269303651</v>
      </c>
      <c r="AK39" s="39">
        <f>1.686*$AE$8^0.4*(AK$35/1000)^1.2*1.1</f>
        <v>3.8549671211921703</v>
      </c>
      <c r="AL39" s="97">
        <f>1.686*$AE$8^0.4*(AL$35/1000)^1.2*1.1</f>
        <v>4.797756180666179</v>
      </c>
      <c r="AM39" s="22"/>
      <c r="AN39" s="22"/>
      <c r="AO39" s="22"/>
      <c r="AP39" s="22"/>
      <c r="AQ39" s="22"/>
      <c r="AR39" s="40"/>
      <c r="AS39" s="40"/>
      <c r="AT39" s="40"/>
      <c r="AU39" s="40"/>
      <c r="AV39" s="40"/>
      <c r="AW39" s="40"/>
      <c r="AX39" s="40"/>
      <c r="AY39" s="40"/>
    </row>
    <row r="40" spans="22:51" s="32" customFormat="1" ht="12.75" customHeight="1">
      <c r="V40" s="22"/>
      <c r="Z40" s="89" t="s">
        <v>16</v>
      </c>
      <c r="AA40" s="39">
        <f>AA$36/(1.2*$AD$9)+$AD$8</f>
        <v>-0.04440505657476024</v>
      </c>
      <c r="AB40" s="39">
        <f>AB$36/(1.2*$AD$9)+$AD$8</f>
        <v>7.4850690188676126</v>
      </c>
      <c r="AC40" s="39">
        <f>AC$36/(1.2*$AD$9)+$AD$8</f>
        <v>10.920384955459333</v>
      </c>
      <c r="AD40" s="39">
        <f>AD$36/(1.2*$AD$9)+$AD$8</f>
        <v>14.18347949197188</v>
      </c>
      <c r="AE40" s="97">
        <f>AE$36/(1.2*$AD$9)+$AD$8</f>
        <v>20.28631792422027</v>
      </c>
      <c r="AG40" s="89" t="s">
        <v>16</v>
      </c>
      <c r="AH40" s="39">
        <f>AH$36/(1.2*$AD$9)+$AD$8</f>
        <v>-0.04506799842081932</v>
      </c>
      <c r="AI40" s="39">
        <f>AI$36/(1.2*$AD$9)+$AD$8</f>
        <v>7.4845970196186045</v>
      </c>
      <c r="AJ40" s="39">
        <f>AJ$36/(1.2*$AD$9)+$AD$8</f>
        <v>10.920013790771527</v>
      </c>
      <c r="AK40" s="39">
        <f>AK$36/(1.2*$AD$9)+$AD$8</f>
        <v>14.183211380236806</v>
      </c>
      <c r="AL40" s="97">
        <f>AL$36/(1.2*$AD$9)+$AD$8</f>
        <v>20.286260226954838</v>
      </c>
      <c r="AM40" s="22"/>
      <c r="AN40" s="22"/>
      <c r="AO40" s="22"/>
      <c r="AP40" s="22"/>
      <c r="AQ40" s="22"/>
      <c r="AR40" s="40"/>
      <c r="AS40" s="40"/>
      <c r="AT40" s="40"/>
      <c r="AU40" s="40"/>
      <c r="AV40" s="40"/>
      <c r="AW40" s="40"/>
      <c r="AX40" s="40"/>
      <c r="AY40" s="40"/>
    </row>
    <row r="41" spans="22:51" s="32" customFormat="1" ht="12.75" customHeight="1">
      <c r="V41" s="22"/>
      <c r="Z41" s="98" t="s">
        <v>17</v>
      </c>
      <c r="AA41" s="99">
        <f>AA$37/(1.2*AA$39)+$AJ$8</f>
        <v>65.52258487269961</v>
      </c>
      <c r="AB41" s="99">
        <f>AB$37/(1.2*AB$39)+$AJ$8</f>
        <v>65.68973443505195</v>
      </c>
      <c r="AC41" s="99">
        <f>AC$37/(1.2*AC$39)+$AJ$8</f>
        <v>65.75834589924555</v>
      </c>
      <c r="AD41" s="99">
        <f>AD$37/(1.2*AD$39)+$AJ$8</f>
        <v>65.81980824625103</v>
      </c>
      <c r="AE41" s="100">
        <f>AE$37/(1.2*AE$39)+$AJ$8</f>
        <v>65.92636112756388</v>
      </c>
      <c r="AG41" s="98" t="s">
        <v>17</v>
      </c>
      <c r="AH41" s="99">
        <f>AH$37/(1.2*AH$39)+$AJ$8</f>
        <v>65.52258487269961</v>
      </c>
      <c r="AI41" s="99">
        <f>AI$37/(1.2*AI$39)+$AJ$8</f>
        <v>65.68973443505195</v>
      </c>
      <c r="AJ41" s="99">
        <f>AJ$37/(1.2*AJ$39)+$AJ$8</f>
        <v>65.75834589924555</v>
      </c>
      <c r="AK41" s="99">
        <f>AK$37/(1.2*AK$39)+$AJ$8</f>
        <v>65.81980824625103</v>
      </c>
      <c r="AL41" s="100">
        <f>AL$37/(1.2*AL$39)+$AJ$8</f>
        <v>65.92636112756388</v>
      </c>
      <c r="AM41" s="22"/>
      <c r="AN41" s="22"/>
      <c r="AO41" s="22"/>
      <c r="AP41" s="22"/>
      <c r="AQ41" s="22"/>
      <c r="AR41" s="40"/>
      <c r="AS41" s="40"/>
      <c r="AT41" s="40"/>
      <c r="AU41" s="40"/>
      <c r="AV41" s="40"/>
      <c r="AW41" s="40"/>
      <c r="AX41" s="40"/>
      <c r="AY41" s="40"/>
    </row>
    <row r="42" spans="22:51" s="32" customFormat="1" ht="12.75" customHeight="1">
      <c r="V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40"/>
      <c r="AS42" s="40"/>
      <c r="AT42" s="40"/>
      <c r="AU42" s="40"/>
      <c r="AV42" s="40"/>
      <c r="AW42" s="40"/>
      <c r="AX42" s="40"/>
      <c r="AY42" s="40"/>
    </row>
    <row r="43" spans="22:51" s="32" customFormat="1" ht="12.75" customHeight="1">
      <c r="V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0"/>
      <c r="AS43" s="40"/>
      <c r="AT43" s="40"/>
      <c r="AU43" s="40"/>
      <c r="AV43" s="40"/>
      <c r="AW43" s="40"/>
      <c r="AX43" s="40"/>
      <c r="AY43" s="40"/>
    </row>
    <row r="44" spans="22:51" s="32" customFormat="1" ht="12.75" customHeight="1">
      <c r="V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40"/>
      <c r="AS44" s="40"/>
      <c r="AT44" s="40"/>
      <c r="AU44" s="40"/>
      <c r="AV44" s="40"/>
      <c r="AW44" s="40"/>
      <c r="AX44" s="40"/>
      <c r="AY44" s="40"/>
    </row>
    <row r="45" spans="22:51" s="32" customFormat="1" ht="12.75" customHeight="1">
      <c r="V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0"/>
      <c r="AS45" s="40"/>
      <c r="AT45" s="40"/>
      <c r="AU45" s="40"/>
      <c r="AV45" s="40"/>
      <c r="AW45" s="40"/>
      <c r="AX45" s="40"/>
      <c r="AY45" s="40"/>
    </row>
    <row r="46" spans="22:51" s="32" customFormat="1" ht="12.75" customHeight="1">
      <c r="V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0"/>
      <c r="AS46" s="40"/>
      <c r="AT46" s="40"/>
      <c r="AU46" s="40"/>
      <c r="AV46" s="40"/>
      <c r="AW46" s="40"/>
      <c r="AX46" s="40"/>
      <c r="AY46" s="40"/>
    </row>
    <row r="47" spans="22:51" s="32" customFormat="1" ht="12.75" customHeight="1">
      <c r="V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40"/>
      <c r="AS47" s="40"/>
      <c r="AT47" s="40"/>
      <c r="AU47" s="40"/>
      <c r="AV47" s="40"/>
      <c r="AW47" s="40"/>
      <c r="AX47" s="40"/>
      <c r="AY47" s="40"/>
    </row>
    <row r="48" spans="22:51" s="32" customFormat="1" ht="12.75" customHeight="1">
      <c r="V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0"/>
      <c r="AS48" s="40"/>
      <c r="AT48" s="40"/>
      <c r="AU48" s="40"/>
      <c r="AV48" s="40"/>
      <c r="AW48" s="40"/>
      <c r="AX48" s="40"/>
      <c r="AY48" s="40"/>
    </row>
    <row r="49" spans="22:51" s="32" customFormat="1" ht="12.75" customHeight="1">
      <c r="V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40"/>
      <c r="AS49" s="40"/>
      <c r="AT49" s="40"/>
      <c r="AU49" s="40"/>
      <c r="AV49" s="40"/>
      <c r="AW49" s="40"/>
      <c r="AX49" s="40"/>
      <c r="AY49" s="40"/>
    </row>
    <row r="50" spans="22:51" s="32" customFormat="1" ht="12.75" customHeight="1">
      <c r="V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40"/>
      <c r="AS50" s="40"/>
      <c r="AT50" s="40"/>
      <c r="AU50" s="40"/>
      <c r="AV50" s="40"/>
      <c r="AW50" s="40"/>
      <c r="AX50" s="40"/>
      <c r="AY50" s="40"/>
    </row>
    <row r="51" spans="22:51" s="32" customFormat="1" ht="12.75" customHeight="1">
      <c r="V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0"/>
      <c r="AS51" s="40"/>
      <c r="AT51" s="40"/>
      <c r="AU51" s="40"/>
      <c r="AV51" s="40"/>
      <c r="AW51" s="40"/>
      <c r="AX51" s="40"/>
      <c r="AY51" s="40"/>
    </row>
    <row r="52" spans="22:51" s="32" customFormat="1" ht="12.75" customHeight="1">
      <c r="V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40"/>
      <c r="AS52" s="40"/>
      <c r="AT52" s="40"/>
      <c r="AU52" s="40"/>
      <c r="AV52" s="40"/>
      <c r="AW52" s="40"/>
      <c r="AX52" s="40"/>
      <c r="AY52" s="40"/>
    </row>
    <row r="53" spans="22:51" s="32" customFormat="1" ht="12.75" customHeight="1">
      <c r="V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40"/>
      <c r="AS53" s="40"/>
      <c r="AT53" s="40"/>
      <c r="AU53" s="40"/>
      <c r="AV53" s="40"/>
      <c r="AW53" s="40"/>
      <c r="AX53" s="40"/>
      <c r="AY53" s="40"/>
    </row>
    <row r="54" spans="22:51" s="32" customFormat="1" ht="12.75" customHeight="1">
      <c r="V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40"/>
      <c r="AS54" s="40"/>
      <c r="AT54" s="40"/>
      <c r="AU54" s="40"/>
      <c r="AV54" s="40"/>
      <c r="AW54" s="40"/>
      <c r="AX54" s="40"/>
      <c r="AY54" s="40"/>
    </row>
    <row r="55" spans="22:51" s="32" customFormat="1" ht="12.75" customHeight="1">
      <c r="V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40"/>
      <c r="AS55" s="40"/>
      <c r="AT55" s="40"/>
      <c r="AU55" s="40"/>
      <c r="AV55" s="40"/>
      <c r="AW55" s="40"/>
      <c r="AX55" s="40"/>
      <c r="AY55" s="40"/>
    </row>
    <row r="56" spans="22:51" s="32" customFormat="1" ht="12.75" customHeight="1">
      <c r="V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40"/>
      <c r="AS56" s="40"/>
      <c r="AT56" s="40"/>
      <c r="AU56" s="40"/>
      <c r="AV56" s="40"/>
      <c r="AW56" s="40"/>
      <c r="AX56" s="40"/>
      <c r="AY56" s="40"/>
    </row>
    <row r="57" spans="22:51" s="32" customFormat="1" ht="12.75" customHeight="1">
      <c r="V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40"/>
      <c r="AS57" s="40"/>
      <c r="AT57" s="40"/>
      <c r="AU57" s="40"/>
      <c r="AV57" s="40"/>
      <c r="AW57" s="40"/>
      <c r="AX57" s="40"/>
      <c r="AY57" s="40"/>
    </row>
    <row r="58" spans="19:51" s="32" customFormat="1" ht="12.75" customHeight="1">
      <c r="S58" s="22"/>
      <c r="T58" s="22"/>
      <c r="U58" s="22"/>
      <c r="V58" s="22"/>
      <c r="AA58" s="37"/>
      <c r="AB58" s="37"/>
      <c r="AC58" s="37"/>
      <c r="AD58" s="37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40"/>
      <c r="AS58" s="40"/>
      <c r="AT58" s="40"/>
      <c r="AU58" s="40"/>
      <c r="AV58" s="40"/>
      <c r="AW58" s="40"/>
      <c r="AX58" s="40"/>
      <c r="AY58" s="40"/>
    </row>
    <row r="59" spans="18:51" s="32" customFormat="1" ht="12.75" customHeight="1">
      <c r="R59" s="22"/>
      <c r="S59" s="22"/>
      <c r="T59" s="22"/>
      <c r="U59" s="22"/>
      <c r="V59" s="22"/>
      <c r="AA59" s="25"/>
      <c r="AB59" s="25"/>
      <c r="AC59" s="25"/>
      <c r="AD59" s="25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40"/>
      <c r="AS59" s="40"/>
      <c r="AT59" s="40"/>
      <c r="AU59" s="40"/>
      <c r="AV59" s="40"/>
      <c r="AW59" s="40"/>
      <c r="AX59" s="40"/>
      <c r="AY59" s="40"/>
    </row>
    <row r="60" spans="22:51" s="32" customFormat="1" ht="12.75" customHeight="1">
      <c r="V60" s="22"/>
      <c r="AA60" s="25"/>
      <c r="AB60" s="25"/>
      <c r="AC60" s="25"/>
      <c r="AD60" s="2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40"/>
      <c r="AS60" s="40"/>
      <c r="AT60" s="40"/>
      <c r="AU60" s="40"/>
      <c r="AV60" s="40"/>
      <c r="AW60" s="40"/>
      <c r="AX60" s="40"/>
      <c r="AY60" s="40"/>
    </row>
    <row r="61" spans="18:51" s="32" customFormat="1" ht="12.75" customHeight="1">
      <c r="R61" s="22"/>
      <c r="S61" s="22"/>
      <c r="T61" s="22"/>
      <c r="U61" s="22"/>
      <c r="V61" s="22"/>
      <c r="AA61" s="25"/>
      <c r="AB61" s="25"/>
      <c r="AC61" s="25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40"/>
      <c r="AS61" s="40"/>
      <c r="AT61" s="40"/>
      <c r="AU61" s="40"/>
      <c r="AV61" s="40"/>
      <c r="AW61" s="40"/>
      <c r="AX61" s="40"/>
      <c r="AY61" s="40"/>
    </row>
    <row r="62" spans="20:51" s="32" customFormat="1" ht="12.75" customHeight="1">
      <c r="T62" s="22"/>
      <c r="U62" s="22"/>
      <c r="V62" s="22"/>
      <c r="AA62" s="25"/>
      <c r="AB62" s="25"/>
      <c r="AC62" s="25"/>
      <c r="AD62" s="25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40"/>
      <c r="AS62" s="40"/>
      <c r="AT62" s="40"/>
      <c r="AU62" s="40"/>
      <c r="AV62" s="40"/>
      <c r="AW62" s="40"/>
      <c r="AX62" s="40"/>
      <c r="AY62" s="40"/>
    </row>
    <row r="63" spans="18:51" s="32" customFormat="1" ht="12.75" customHeight="1">
      <c r="R63" s="22"/>
      <c r="S63" s="22"/>
      <c r="T63" s="22"/>
      <c r="U63" s="22"/>
      <c r="V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40"/>
      <c r="AS63" s="40"/>
      <c r="AT63" s="40"/>
      <c r="AU63" s="40"/>
      <c r="AV63" s="40"/>
      <c r="AW63" s="40"/>
      <c r="AX63" s="40"/>
      <c r="AY63" s="40"/>
    </row>
    <row r="64" spans="20:51" s="32" customFormat="1" ht="12.75" customHeight="1">
      <c r="T64" s="27"/>
      <c r="U64" s="22"/>
      <c r="V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40"/>
      <c r="AS64" s="40"/>
      <c r="AT64" s="40"/>
      <c r="AU64" s="40"/>
      <c r="AV64" s="40"/>
      <c r="AW64" s="40"/>
      <c r="AX64" s="40"/>
      <c r="AY64" s="40"/>
    </row>
    <row r="65" spans="18:51" s="32" customFormat="1" ht="12.75" customHeight="1">
      <c r="R65" s="22"/>
      <c r="S65" s="22"/>
      <c r="T65" s="22"/>
      <c r="U65" s="22"/>
      <c r="V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40"/>
      <c r="AS65" s="40"/>
      <c r="AT65" s="40"/>
      <c r="AU65" s="40"/>
      <c r="AV65" s="40"/>
      <c r="AW65" s="40"/>
      <c r="AX65" s="40"/>
      <c r="AY65" s="40"/>
    </row>
    <row r="66" spans="22:51" s="32" customFormat="1" ht="12.75" customHeight="1">
      <c r="V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40"/>
      <c r="AS66" s="40"/>
      <c r="AT66" s="40"/>
      <c r="AU66" s="40"/>
      <c r="AV66" s="40"/>
      <c r="AW66" s="40"/>
      <c r="AX66" s="40"/>
      <c r="AY66" s="40"/>
    </row>
    <row r="67" spans="18:51" s="32" customFormat="1" ht="12.75" customHeight="1">
      <c r="R67" s="22"/>
      <c r="S67" s="22"/>
      <c r="T67" s="22"/>
      <c r="U67" s="22"/>
      <c r="V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40"/>
      <c r="AS67" s="40"/>
      <c r="AT67" s="40"/>
      <c r="AU67" s="40"/>
      <c r="AV67" s="40"/>
      <c r="AW67" s="40"/>
      <c r="AX67" s="40"/>
      <c r="AY67" s="40"/>
    </row>
    <row r="68" spans="20:51" s="32" customFormat="1" ht="12.75" customHeight="1">
      <c r="T68" s="22"/>
      <c r="U68" s="22"/>
      <c r="V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40"/>
      <c r="AS68" s="40"/>
      <c r="AT68" s="40"/>
      <c r="AU68" s="40"/>
      <c r="AV68" s="40"/>
      <c r="AW68" s="40"/>
      <c r="AX68" s="40"/>
      <c r="AY68" s="40"/>
    </row>
    <row r="69" spans="18:51" s="32" customFormat="1" ht="12.75" customHeight="1">
      <c r="R69" s="22"/>
      <c r="S69" s="22"/>
      <c r="T69" s="22"/>
      <c r="U69" s="22"/>
      <c r="V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40"/>
      <c r="AS69" s="40"/>
      <c r="AT69" s="40"/>
      <c r="AU69" s="40"/>
      <c r="AV69" s="40"/>
      <c r="AW69" s="40"/>
      <c r="AX69" s="40"/>
      <c r="AY69" s="40"/>
    </row>
    <row r="70" spans="18:51" s="32" customFormat="1" ht="12.75" customHeight="1">
      <c r="R70" s="22"/>
      <c r="S70" s="22"/>
      <c r="T70" s="22"/>
      <c r="U70" s="22"/>
      <c r="V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40"/>
      <c r="AS70" s="40"/>
      <c r="AT70" s="40"/>
      <c r="AU70" s="40"/>
      <c r="AV70" s="40"/>
      <c r="AW70" s="40"/>
      <c r="AX70" s="40"/>
      <c r="AY70" s="40"/>
    </row>
    <row r="71" spans="18:51" s="32" customFormat="1" ht="12.75" customHeight="1">
      <c r="R71" s="22"/>
      <c r="S71" s="22"/>
      <c r="T71" s="22"/>
      <c r="U71" s="22"/>
      <c r="V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40"/>
      <c r="AS71" s="40"/>
      <c r="AT71" s="40"/>
      <c r="AU71" s="40"/>
      <c r="AV71" s="40"/>
      <c r="AW71" s="40"/>
      <c r="AX71" s="40"/>
      <c r="AY71" s="40"/>
    </row>
    <row r="72" spans="18:51" s="32" customFormat="1" ht="12.75" customHeight="1">
      <c r="R72" s="22"/>
      <c r="S72" s="22"/>
      <c r="T72" s="22"/>
      <c r="U72" s="22"/>
      <c r="V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40"/>
      <c r="AS72" s="40"/>
      <c r="AT72" s="40"/>
      <c r="AU72" s="40"/>
      <c r="AV72" s="40"/>
      <c r="AW72" s="40"/>
      <c r="AX72" s="40"/>
      <c r="AY72" s="40"/>
    </row>
    <row r="73" spans="18:51" s="32" customFormat="1" ht="12.75" customHeight="1">
      <c r="R73" s="22"/>
      <c r="S73" s="22"/>
      <c r="T73" s="22"/>
      <c r="U73" s="22"/>
      <c r="V73" s="22"/>
      <c r="W73" s="22"/>
      <c r="X73" s="22"/>
      <c r="Y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40"/>
      <c r="AS73" s="40"/>
      <c r="AT73" s="40"/>
      <c r="AU73" s="40"/>
      <c r="AV73" s="40"/>
      <c r="AW73" s="40"/>
      <c r="AX73" s="40"/>
      <c r="AY73" s="40"/>
    </row>
    <row r="74" spans="18:51" s="32" customFormat="1" ht="12.75" customHeight="1">
      <c r="R74" s="22"/>
      <c r="S74" s="22"/>
      <c r="T74" s="22"/>
      <c r="U74" s="22"/>
      <c r="V74" s="22"/>
      <c r="W74" s="22"/>
      <c r="X74" s="22"/>
      <c r="Y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40"/>
      <c r="AS74" s="40"/>
      <c r="AT74" s="40"/>
      <c r="AU74" s="40"/>
      <c r="AV74" s="40"/>
      <c r="AW74" s="40"/>
      <c r="AX74" s="40"/>
      <c r="AY74" s="40"/>
    </row>
    <row r="75" spans="18:51" s="32" customFormat="1" ht="12.75" customHeight="1">
      <c r="R75" s="22"/>
      <c r="S75" s="22"/>
      <c r="T75" s="22"/>
      <c r="U75" s="22"/>
      <c r="V75" s="22"/>
      <c r="W75" s="22"/>
      <c r="X75" s="22"/>
      <c r="Y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40"/>
      <c r="AS75" s="40"/>
      <c r="AT75" s="40"/>
      <c r="AU75" s="40"/>
      <c r="AV75" s="40"/>
      <c r="AW75" s="40"/>
      <c r="AX75" s="40"/>
      <c r="AY75" s="40"/>
    </row>
    <row r="76" spans="44:51" s="22" customFormat="1" ht="12.75" customHeight="1">
      <c r="AR76" s="29"/>
      <c r="AS76" s="29"/>
      <c r="AT76" s="29"/>
      <c r="AU76" s="29"/>
      <c r="AV76" s="29"/>
      <c r="AW76" s="29"/>
      <c r="AX76" s="29"/>
      <c r="AY76" s="29"/>
    </row>
    <row r="77" spans="44:51" s="22" customFormat="1" ht="12.75" customHeight="1">
      <c r="AR77" s="29"/>
      <c r="AS77" s="29"/>
      <c r="AT77" s="29"/>
      <c r="AU77" s="29"/>
      <c r="AV77" s="29"/>
      <c r="AW77" s="29"/>
      <c r="AX77" s="29"/>
      <c r="AY77" s="29"/>
    </row>
    <row r="78" spans="44:51" s="22" customFormat="1" ht="12.75" customHeight="1">
      <c r="AR78" s="29"/>
      <c r="AS78" s="29"/>
      <c r="AT78" s="29"/>
      <c r="AU78" s="29"/>
      <c r="AV78" s="29"/>
      <c r="AW78" s="29"/>
      <c r="AX78" s="29"/>
      <c r="AY78" s="29"/>
    </row>
    <row r="79" spans="44:51" s="22" customFormat="1" ht="12.75" customHeight="1">
      <c r="AR79" s="29"/>
      <c r="AS79" s="29"/>
      <c r="AT79" s="29"/>
      <c r="AU79" s="29"/>
      <c r="AV79" s="29"/>
      <c r="AW79" s="29"/>
      <c r="AX79" s="29"/>
      <c r="AY79" s="29"/>
    </row>
    <row r="80" spans="44:51" s="22" customFormat="1" ht="12.75" customHeight="1">
      <c r="AR80" s="29"/>
      <c r="AS80" s="29"/>
      <c r="AT80" s="29"/>
      <c r="AU80" s="29"/>
      <c r="AV80" s="29"/>
      <c r="AW80" s="29"/>
      <c r="AX80" s="29"/>
      <c r="AY80" s="29"/>
    </row>
    <row r="81" spans="44:51" s="22" customFormat="1" ht="12.75" customHeight="1">
      <c r="AR81" s="29"/>
      <c r="AS81" s="29"/>
      <c r="AT81" s="29"/>
      <c r="AU81" s="29"/>
      <c r="AV81" s="29"/>
      <c r="AW81" s="29"/>
      <c r="AX81" s="29"/>
      <c r="AY81" s="29"/>
    </row>
    <row r="82" spans="44:51" s="22" customFormat="1" ht="12.75" customHeight="1">
      <c r="AR82" s="29"/>
      <c r="AS82" s="29"/>
      <c r="AT82" s="29"/>
      <c r="AU82" s="29"/>
      <c r="AV82" s="29"/>
      <c r="AW82" s="29"/>
      <c r="AX82" s="29"/>
      <c r="AY82" s="29"/>
    </row>
    <row r="83" spans="44:51" s="22" customFormat="1" ht="12.75" customHeight="1">
      <c r="AR83" s="29"/>
      <c r="AS83" s="29"/>
      <c r="AT83" s="29"/>
      <c r="AU83" s="29"/>
      <c r="AV83" s="29"/>
      <c r="AW83" s="29"/>
      <c r="AX83" s="29"/>
      <c r="AY83" s="29"/>
    </row>
    <row r="84" spans="44:51" s="22" customFormat="1" ht="12.75" customHeight="1">
      <c r="AR84" s="29"/>
      <c r="AS84" s="29"/>
      <c r="AT84" s="29"/>
      <c r="AU84" s="29"/>
      <c r="AV84" s="29"/>
      <c r="AW84" s="29"/>
      <c r="AX84" s="29"/>
      <c r="AY84" s="29"/>
    </row>
    <row r="85" spans="44:51" s="22" customFormat="1" ht="12.75" customHeight="1">
      <c r="AR85" s="29"/>
      <c r="AS85" s="29"/>
      <c r="AT85" s="29"/>
      <c r="AU85" s="29"/>
      <c r="AV85" s="29"/>
      <c r="AW85" s="29"/>
      <c r="AX85" s="29"/>
      <c r="AY85" s="29"/>
    </row>
    <row r="86" spans="44:51" s="22" customFormat="1" ht="12.75" customHeight="1">
      <c r="AR86" s="29"/>
      <c r="AS86" s="29"/>
      <c r="AT86" s="29"/>
      <c r="AU86" s="29"/>
      <c r="AV86" s="29"/>
      <c r="AW86" s="29"/>
      <c r="AX86" s="29"/>
      <c r="AY86" s="29"/>
    </row>
    <row r="87" spans="44:51" s="22" customFormat="1" ht="12.75" customHeight="1">
      <c r="AR87" s="29"/>
      <c r="AS87" s="29"/>
      <c r="AT87" s="29"/>
      <c r="AU87" s="29"/>
      <c r="AV87" s="29"/>
      <c r="AW87" s="29"/>
      <c r="AX87" s="29"/>
      <c r="AY87" s="29"/>
    </row>
    <row r="88" spans="44:51" s="22" customFormat="1" ht="12.75" customHeight="1">
      <c r="AR88" s="29"/>
      <c r="AS88" s="29"/>
      <c r="AT88" s="29"/>
      <c r="AU88" s="29"/>
      <c r="AV88" s="29"/>
      <c r="AW88" s="29"/>
      <c r="AX88" s="29"/>
      <c r="AY88" s="29"/>
    </row>
    <row r="89" spans="44:51" s="22" customFormat="1" ht="12.75" customHeight="1">
      <c r="AR89" s="29"/>
      <c r="AS89" s="29"/>
      <c r="AT89" s="29"/>
      <c r="AU89" s="29"/>
      <c r="AV89" s="29"/>
      <c r="AW89" s="29"/>
      <c r="AX89" s="29"/>
      <c r="AY89" s="29"/>
    </row>
    <row r="90" spans="3:51" s="22" customFormat="1" ht="12.75" customHeight="1">
      <c r="C90" s="29"/>
      <c r="D90" s="37"/>
      <c r="E90" s="37"/>
      <c r="F90" s="37"/>
      <c r="G90" s="37"/>
      <c r="AR90" s="29"/>
      <c r="AS90" s="29"/>
      <c r="AT90" s="29"/>
      <c r="AU90" s="29"/>
      <c r="AV90" s="29"/>
      <c r="AW90" s="29"/>
      <c r="AX90" s="29"/>
      <c r="AY90" s="29"/>
    </row>
    <row r="91" spans="3:51" s="22" customFormat="1" ht="12.75" customHeight="1">
      <c r="C91" s="29"/>
      <c r="D91" s="37"/>
      <c r="E91" s="37"/>
      <c r="F91" s="37"/>
      <c r="G91" s="37"/>
      <c r="AR91" s="29"/>
      <c r="AS91" s="29"/>
      <c r="AT91" s="29"/>
      <c r="AU91" s="29"/>
      <c r="AV91" s="29"/>
      <c r="AW91" s="29"/>
      <c r="AX91" s="29"/>
      <c r="AY91" s="29"/>
    </row>
    <row r="92" spans="3:51" s="22" customFormat="1" ht="12.75" customHeight="1">
      <c r="C92" s="29"/>
      <c r="D92" s="37"/>
      <c r="E92" s="37"/>
      <c r="F92" s="37"/>
      <c r="G92" s="37"/>
      <c r="AR92" s="29"/>
      <c r="AS92" s="29"/>
      <c r="AT92" s="29"/>
      <c r="AU92" s="29"/>
      <c r="AV92" s="29"/>
      <c r="AW92" s="29"/>
      <c r="AX92" s="29"/>
      <c r="AY92" s="29"/>
    </row>
    <row r="93" spans="3:51" s="22" customFormat="1" ht="12.75" customHeight="1">
      <c r="C93" s="29"/>
      <c r="D93" s="37"/>
      <c r="E93" s="37"/>
      <c r="F93" s="37"/>
      <c r="G93" s="37"/>
      <c r="M93" s="29"/>
      <c r="N93" s="37"/>
      <c r="O93" s="37"/>
      <c r="P93" s="37"/>
      <c r="Q93" s="37"/>
      <c r="AR93" s="29"/>
      <c r="AS93" s="29"/>
      <c r="AT93" s="29"/>
      <c r="AU93" s="29"/>
      <c r="AV93" s="29"/>
      <c r="AW93" s="29"/>
      <c r="AX93" s="29"/>
      <c r="AY93" s="29"/>
    </row>
    <row r="94" spans="3:51" s="22" customFormat="1" ht="12.75" customHeight="1">
      <c r="C94" s="29"/>
      <c r="D94" s="37"/>
      <c r="E94" s="37"/>
      <c r="F94" s="37"/>
      <c r="G94" s="37"/>
      <c r="M94" s="29"/>
      <c r="N94" s="37"/>
      <c r="O94" s="37"/>
      <c r="P94" s="37"/>
      <c r="Q94" s="37"/>
      <c r="Y94" s="29"/>
      <c r="AR94" s="29"/>
      <c r="AS94" s="29"/>
      <c r="AT94" s="29"/>
      <c r="AU94" s="29"/>
      <c r="AV94" s="29"/>
      <c r="AW94" s="29"/>
      <c r="AX94" s="29"/>
      <c r="AY94" s="29"/>
    </row>
    <row r="95" spans="3:51" s="22" customFormat="1" ht="12.75" customHeight="1">
      <c r="C95" s="29"/>
      <c r="D95" s="37"/>
      <c r="E95" s="37"/>
      <c r="F95" s="37"/>
      <c r="G95" s="37"/>
      <c r="AR95" s="29"/>
      <c r="AS95" s="29"/>
      <c r="AT95" s="29"/>
      <c r="AU95" s="29"/>
      <c r="AV95" s="29"/>
      <c r="AW95" s="29"/>
      <c r="AX95" s="29"/>
      <c r="AY95" s="29"/>
    </row>
    <row r="96" spans="3:51" s="22" customFormat="1" ht="12.75" customHeight="1">
      <c r="C96" s="29"/>
      <c r="D96" s="37"/>
      <c r="E96" s="37"/>
      <c r="F96" s="37"/>
      <c r="G96" s="37"/>
      <c r="AR96" s="29"/>
      <c r="AS96" s="29"/>
      <c r="AT96" s="29"/>
      <c r="AU96" s="29"/>
      <c r="AV96" s="29"/>
      <c r="AW96" s="29"/>
      <c r="AX96" s="29"/>
      <c r="AY96" s="29"/>
    </row>
    <row r="97" spans="3:51" s="22" customFormat="1" ht="12.75" customHeight="1">
      <c r="C97" s="29"/>
      <c r="D97" s="37"/>
      <c r="E97" s="37"/>
      <c r="F97" s="37"/>
      <c r="G97" s="37"/>
      <c r="Z97" s="37"/>
      <c r="AA97" s="37"/>
      <c r="AB97" s="37"/>
      <c r="AC97" s="37"/>
      <c r="AD97" s="37"/>
      <c r="AR97" s="29"/>
      <c r="AS97" s="29"/>
      <c r="AT97" s="29"/>
      <c r="AU97" s="29"/>
      <c r="AV97" s="29"/>
      <c r="AW97" s="29"/>
      <c r="AX97" s="29"/>
      <c r="AY97" s="29"/>
    </row>
    <row r="98" spans="3:51" s="22" customFormat="1" ht="12.75" customHeight="1">
      <c r="C98" s="29"/>
      <c r="D98" s="37"/>
      <c r="E98" s="37"/>
      <c r="F98" s="37"/>
      <c r="G98" s="37"/>
      <c r="AR98" s="29"/>
      <c r="AS98" s="29"/>
      <c r="AT98" s="29"/>
      <c r="AU98" s="29"/>
      <c r="AV98" s="29"/>
      <c r="AW98" s="29"/>
      <c r="AX98" s="29"/>
      <c r="AY98" s="29"/>
    </row>
    <row r="99" spans="44:51" s="22" customFormat="1" ht="12.75" customHeight="1">
      <c r="AR99" s="29"/>
      <c r="AS99" s="29"/>
      <c r="AT99" s="29"/>
      <c r="AU99" s="29"/>
      <c r="AV99" s="29"/>
      <c r="AW99" s="29"/>
      <c r="AX99" s="29"/>
      <c r="AY99" s="29"/>
    </row>
    <row r="100" spans="44:51" s="22" customFormat="1" ht="12.75" customHeight="1">
      <c r="AR100" s="29"/>
      <c r="AS100" s="29"/>
      <c r="AT100" s="29"/>
      <c r="AU100" s="29"/>
      <c r="AV100" s="29"/>
      <c r="AW100" s="29"/>
      <c r="AX100" s="29"/>
      <c r="AY100" s="29"/>
    </row>
    <row r="101" spans="44:51" s="22" customFormat="1" ht="12.75" customHeight="1">
      <c r="AR101" s="29"/>
      <c r="AS101" s="29"/>
      <c r="AT101" s="29"/>
      <c r="AU101" s="29"/>
      <c r="AV101" s="29"/>
      <c r="AW101" s="29"/>
      <c r="AX101" s="29"/>
      <c r="AY101" s="29"/>
    </row>
    <row r="102" spans="44:51" s="22" customFormat="1" ht="12.75" customHeight="1">
      <c r="AR102" s="29"/>
      <c r="AS102" s="29"/>
      <c r="AT102" s="29"/>
      <c r="AU102" s="29"/>
      <c r="AV102" s="29"/>
      <c r="AW102" s="29"/>
      <c r="AX102" s="29"/>
      <c r="AY102" s="29"/>
    </row>
    <row r="103" spans="44:51" s="22" customFormat="1" ht="12.75" customHeight="1">
      <c r="AR103" s="29"/>
      <c r="AS103" s="29"/>
      <c r="AT103" s="29"/>
      <c r="AU103" s="29"/>
      <c r="AV103" s="29"/>
      <c r="AW103" s="29"/>
      <c r="AX103" s="29"/>
      <c r="AY103" s="29"/>
    </row>
    <row r="104" spans="44:51" s="22" customFormat="1" ht="12.75" customHeight="1">
      <c r="AR104" s="29"/>
      <c r="AS104" s="29"/>
      <c r="AT104" s="29"/>
      <c r="AU104" s="29"/>
      <c r="AV104" s="29"/>
      <c r="AW104" s="29"/>
      <c r="AX104" s="29"/>
      <c r="AY104" s="29"/>
    </row>
    <row r="105" spans="44:51" s="22" customFormat="1" ht="12.75" customHeight="1">
      <c r="AR105" s="29"/>
      <c r="AS105" s="29"/>
      <c r="AT105" s="29"/>
      <c r="AU105" s="29"/>
      <c r="AV105" s="29"/>
      <c r="AW105" s="29"/>
      <c r="AX105" s="29"/>
      <c r="AY105" s="29"/>
    </row>
    <row r="106" spans="44:51" s="22" customFormat="1" ht="12.75" customHeight="1">
      <c r="AR106" s="29"/>
      <c r="AS106" s="29"/>
      <c r="AT106" s="29"/>
      <c r="AU106" s="29"/>
      <c r="AV106" s="29"/>
      <c r="AW106" s="29"/>
      <c r="AX106" s="29"/>
      <c r="AY106" s="29"/>
    </row>
    <row r="107" spans="44:51" s="22" customFormat="1" ht="12.75" customHeight="1">
      <c r="AR107" s="29"/>
      <c r="AS107" s="29"/>
      <c r="AT107" s="29"/>
      <c r="AU107" s="29"/>
      <c r="AV107" s="29"/>
      <c r="AW107" s="29"/>
      <c r="AX107" s="29"/>
      <c r="AY107" s="29"/>
    </row>
    <row r="108" spans="44:51" s="22" customFormat="1" ht="12.75" customHeight="1">
      <c r="AR108" s="29"/>
      <c r="AS108" s="29"/>
      <c r="AT108" s="29"/>
      <c r="AU108" s="29"/>
      <c r="AV108" s="29"/>
      <c r="AW108" s="29"/>
      <c r="AX108" s="29"/>
      <c r="AY108" s="29"/>
    </row>
    <row r="109" spans="44:51" s="22" customFormat="1" ht="12.75" customHeight="1">
      <c r="AR109" s="29"/>
      <c r="AS109" s="29"/>
      <c r="AT109" s="29"/>
      <c r="AU109" s="29"/>
      <c r="AV109" s="29"/>
      <c r="AW109" s="29"/>
      <c r="AX109" s="29"/>
      <c r="AY109" s="29"/>
    </row>
    <row r="110" spans="44:51" s="22" customFormat="1" ht="12.75" customHeight="1">
      <c r="AR110" s="29"/>
      <c r="AS110" s="29"/>
      <c r="AT110" s="29"/>
      <c r="AU110" s="29"/>
      <c r="AV110" s="29"/>
      <c r="AW110" s="29"/>
      <c r="AX110" s="29"/>
      <c r="AY110" s="29"/>
    </row>
    <row r="111" spans="44:51" s="22" customFormat="1" ht="12.75" customHeight="1">
      <c r="AR111" s="29"/>
      <c r="AS111" s="29"/>
      <c r="AT111" s="29"/>
      <c r="AU111" s="29"/>
      <c r="AV111" s="29"/>
      <c r="AW111" s="29"/>
      <c r="AX111" s="29"/>
      <c r="AY111" s="29"/>
    </row>
    <row r="112" spans="44:51" s="22" customFormat="1" ht="12.75" customHeight="1">
      <c r="AR112" s="29"/>
      <c r="AS112" s="29"/>
      <c r="AT112" s="29"/>
      <c r="AU112" s="29"/>
      <c r="AV112" s="29"/>
      <c r="AW112" s="29"/>
      <c r="AX112" s="29"/>
      <c r="AY112" s="29"/>
    </row>
    <row r="113" spans="44:51" s="22" customFormat="1" ht="12.75" customHeight="1">
      <c r="AR113" s="29"/>
      <c r="AS113" s="29"/>
      <c r="AT113" s="29"/>
      <c r="AU113" s="29"/>
      <c r="AV113" s="29"/>
      <c r="AW113" s="29"/>
      <c r="AX113" s="29"/>
      <c r="AY113" s="29"/>
    </row>
    <row r="114" spans="44:51" s="22" customFormat="1" ht="12.75" customHeight="1">
      <c r="AR114" s="29"/>
      <c r="AS114" s="29"/>
      <c r="AT114" s="29"/>
      <c r="AU114" s="29"/>
      <c r="AV114" s="29"/>
      <c r="AW114" s="29"/>
      <c r="AX114" s="29"/>
      <c r="AY114" s="29"/>
    </row>
    <row r="115" spans="44:51" s="22" customFormat="1" ht="12.75" customHeight="1">
      <c r="AR115" s="29"/>
      <c r="AS115" s="29"/>
      <c r="AT115" s="29"/>
      <c r="AU115" s="29"/>
      <c r="AV115" s="29"/>
      <c r="AW115" s="29"/>
      <c r="AX115" s="29"/>
      <c r="AY115" s="29"/>
    </row>
    <row r="116" spans="44:51" s="22" customFormat="1" ht="12.75" customHeight="1">
      <c r="AR116" s="29"/>
      <c r="AS116" s="29"/>
      <c r="AT116" s="29"/>
      <c r="AU116" s="29"/>
      <c r="AV116" s="29"/>
      <c r="AW116" s="29"/>
      <c r="AX116" s="29"/>
      <c r="AY116" s="29"/>
    </row>
    <row r="117" spans="44:51" s="22" customFormat="1" ht="12.75" customHeight="1">
      <c r="AR117" s="29"/>
      <c r="AS117" s="29"/>
      <c r="AT117" s="29"/>
      <c r="AU117" s="29"/>
      <c r="AV117" s="29"/>
      <c r="AW117" s="29"/>
      <c r="AX117" s="29"/>
      <c r="AY117" s="29"/>
    </row>
    <row r="118" spans="44:51" s="22" customFormat="1" ht="12.75" customHeight="1">
      <c r="AR118" s="29"/>
      <c r="AS118" s="29"/>
      <c r="AT118" s="29"/>
      <c r="AU118" s="29"/>
      <c r="AV118" s="29"/>
      <c r="AW118" s="29"/>
      <c r="AX118" s="29"/>
      <c r="AY118" s="29"/>
    </row>
    <row r="119" spans="44:51" s="22" customFormat="1" ht="12.75" customHeight="1">
      <c r="AR119" s="29"/>
      <c r="AS119" s="29"/>
      <c r="AT119" s="29"/>
      <c r="AU119" s="29"/>
      <c r="AV119" s="29"/>
      <c r="AW119" s="29"/>
      <c r="AX119" s="29"/>
      <c r="AY119" s="29"/>
    </row>
    <row r="120" spans="44:51" s="22" customFormat="1" ht="12.75" customHeight="1">
      <c r="AR120" s="29"/>
      <c r="AS120" s="29"/>
      <c r="AT120" s="29"/>
      <c r="AU120" s="29"/>
      <c r="AV120" s="29"/>
      <c r="AW120" s="29"/>
      <c r="AX120" s="29"/>
      <c r="AY120" s="29"/>
    </row>
    <row r="121" spans="44:51" s="22" customFormat="1" ht="12.75" customHeight="1">
      <c r="AR121" s="29"/>
      <c r="AS121" s="29"/>
      <c r="AT121" s="29"/>
      <c r="AU121" s="29"/>
      <c r="AV121" s="29"/>
      <c r="AW121" s="29"/>
      <c r="AX121" s="29"/>
      <c r="AY121" s="29"/>
    </row>
    <row r="122" spans="44:51" s="22" customFormat="1" ht="12.75" customHeight="1">
      <c r="AR122" s="29"/>
      <c r="AS122" s="29"/>
      <c r="AT122" s="29"/>
      <c r="AU122" s="29"/>
      <c r="AV122" s="29"/>
      <c r="AW122" s="29"/>
      <c r="AX122" s="29"/>
      <c r="AY122" s="29"/>
    </row>
    <row r="123" spans="44:51" s="22" customFormat="1" ht="12.75" customHeight="1">
      <c r="AR123" s="29"/>
      <c r="AS123" s="29"/>
      <c r="AT123" s="29"/>
      <c r="AU123" s="29"/>
      <c r="AV123" s="29"/>
      <c r="AW123" s="29"/>
      <c r="AX123" s="29"/>
      <c r="AY123" s="29"/>
    </row>
    <row r="124" spans="44:51" s="22" customFormat="1" ht="12.75" customHeight="1">
      <c r="AR124" s="29"/>
      <c r="AS124" s="29"/>
      <c r="AT124" s="29"/>
      <c r="AU124" s="29"/>
      <c r="AV124" s="29"/>
      <c r="AW124" s="29"/>
      <c r="AX124" s="29"/>
      <c r="AY124" s="29"/>
    </row>
    <row r="125" spans="44:51" s="22" customFormat="1" ht="12.75" customHeight="1">
      <c r="AR125" s="29"/>
      <c r="AS125" s="29"/>
      <c r="AT125" s="29"/>
      <c r="AU125" s="29"/>
      <c r="AV125" s="29"/>
      <c r="AW125" s="29"/>
      <c r="AX125" s="29"/>
      <c r="AY125" s="29"/>
    </row>
    <row r="126" spans="44:51" s="22" customFormat="1" ht="12.75" customHeight="1">
      <c r="AR126" s="29"/>
      <c r="AS126" s="29"/>
      <c r="AT126" s="29"/>
      <c r="AU126" s="29"/>
      <c r="AV126" s="29"/>
      <c r="AW126" s="29"/>
      <c r="AX126" s="29"/>
      <c r="AY126" s="29"/>
    </row>
    <row r="127" spans="44:51" s="22" customFormat="1" ht="12.75" customHeight="1">
      <c r="AR127" s="29"/>
      <c r="AS127" s="29"/>
      <c r="AT127" s="29"/>
      <c r="AU127" s="29"/>
      <c r="AV127" s="29"/>
      <c r="AW127" s="29"/>
      <c r="AX127" s="29"/>
      <c r="AY127" s="29"/>
    </row>
    <row r="128" spans="44:51" s="22" customFormat="1" ht="12.75" customHeight="1">
      <c r="AR128" s="29"/>
      <c r="AS128" s="29"/>
      <c r="AT128" s="29"/>
      <c r="AU128" s="29"/>
      <c r="AV128" s="29"/>
      <c r="AW128" s="29"/>
      <c r="AX128" s="29"/>
      <c r="AY128" s="29"/>
    </row>
    <row r="129" spans="44:51" s="22" customFormat="1" ht="12.75" customHeight="1">
      <c r="AR129" s="29"/>
      <c r="AS129" s="29"/>
      <c r="AT129" s="29"/>
      <c r="AU129" s="29"/>
      <c r="AV129" s="29"/>
      <c r="AW129" s="29"/>
      <c r="AX129" s="29"/>
      <c r="AY129" s="29"/>
    </row>
    <row r="130" spans="44:51" s="22" customFormat="1" ht="12.75" customHeight="1">
      <c r="AR130" s="29"/>
      <c r="AS130" s="29"/>
      <c r="AT130" s="29"/>
      <c r="AU130" s="29"/>
      <c r="AV130" s="29"/>
      <c r="AW130" s="29"/>
      <c r="AX130" s="29"/>
      <c r="AY130" s="29"/>
    </row>
    <row r="131" spans="44:51" s="22" customFormat="1" ht="12.75" customHeight="1">
      <c r="AR131" s="29"/>
      <c r="AS131" s="29"/>
      <c r="AT131" s="29"/>
      <c r="AU131" s="29"/>
      <c r="AV131" s="29"/>
      <c r="AW131" s="29"/>
      <c r="AX131" s="29"/>
      <c r="AY131" s="29"/>
    </row>
    <row r="132" spans="44:51" s="22" customFormat="1" ht="12.75" customHeight="1">
      <c r="AR132" s="29"/>
      <c r="AS132" s="29"/>
      <c r="AT132" s="29"/>
      <c r="AU132" s="29"/>
      <c r="AV132" s="29"/>
      <c r="AW132" s="29"/>
      <c r="AX132" s="29"/>
      <c r="AY132" s="29"/>
    </row>
    <row r="133" spans="44:51" s="22" customFormat="1" ht="12.75" customHeight="1">
      <c r="AR133" s="29"/>
      <c r="AS133" s="29"/>
      <c r="AT133" s="29"/>
      <c r="AU133" s="29"/>
      <c r="AV133" s="29"/>
      <c r="AW133" s="29"/>
      <c r="AX133" s="29"/>
      <c r="AY133" s="29"/>
    </row>
    <row r="134" spans="44:51" s="22" customFormat="1" ht="12.75" customHeight="1">
      <c r="AR134" s="29"/>
      <c r="AS134" s="29"/>
      <c r="AT134" s="29"/>
      <c r="AU134" s="29"/>
      <c r="AV134" s="29"/>
      <c r="AW134" s="29"/>
      <c r="AX134" s="29"/>
      <c r="AY134" s="29"/>
    </row>
    <row r="135" spans="44:51" s="22" customFormat="1" ht="12.75" customHeight="1">
      <c r="AR135" s="29"/>
      <c r="AS135" s="29"/>
      <c r="AT135" s="29"/>
      <c r="AU135" s="29"/>
      <c r="AV135" s="29"/>
      <c r="AW135" s="29"/>
      <c r="AX135" s="29"/>
      <c r="AY135" s="29"/>
    </row>
    <row r="136" spans="44:51" s="22" customFormat="1" ht="12.75" customHeight="1">
      <c r="AR136" s="29"/>
      <c r="AS136" s="29"/>
      <c r="AT136" s="29"/>
      <c r="AU136" s="29"/>
      <c r="AV136" s="29"/>
      <c r="AW136" s="29"/>
      <c r="AX136" s="29"/>
      <c r="AY136" s="29"/>
    </row>
    <row r="137" spans="44:51" s="22" customFormat="1" ht="12.75" customHeight="1">
      <c r="AR137" s="29"/>
      <c r="AS137" s="29"/>
      <c r="AT137" s="29"/>
      <c r="AU137" s="29"/>
      <c r="AV137" s="29"/>
      <c r="AW137" s="29"/>
      <c r="AX137" s="29"/>
      <c r="AY137" s="29"/>
    </row>
    <row r="138" spans="44:51" s="22" customFormat="1" ht="12.75" customHeight="1">
      <c r="AR138" s="29"/>
      <c r="AS138" s="29"/>
      <c r="AT138" s="29"/>
      <c r="AU138" s="29"/>
      <c r="AV138" s="29"/>
      <c r="AW138" s="29"/>
      <c r="AX138" s="29"/>
      <c r="AY138" s="29"/>
    </row>
    <row r="139" spans="44:51" s="22" customFormat="1" ht="12.75" customHeight="1">
      <c r="AR139" s="29"/>
      <c r="AS139" s="29"/>
      <c r="AT139" s="29"/>
      <c r="AU139" s="29"/>
      <c r="AV139" s="29"/>
      <c r="AW139" s="29"/>
      <c r="AX139" s="29"/>
      <c r="AY139" s="29"/>
    </row>
    <row r="140" spans="44:51" s="22" customFormat="1" ht="12.75" customHeight="1">
      <c r="AR140" s="29"/>
      <c r="AS140" s="29"/>
      <c r="AT140" s="29"/>
      <c r="AU140" s="29"/>
      <c r="AV140" s="29"/>
      <c r="AW140" s="29"/>
      <c r="AX140" s="29"/>
      <c r="AY140" s="29"/>
    </row>
    <row r="141" spans="44:51" s="22" customFormat="1" ht="12.75" customHeight="1">
      <c r="AR141" s="29"/>
      <c r="AS141" s="29"/>
      <c r="AT141" s="29"/>
      <c r="AU141" s="29"/>
      <c r="AV141" s="29"/>
      <c r="AW141" s="29"/>
      <c r="AX141" s="29"/>
      <c r="AY141" s="29"/>
    </row>
    <row r="142" spans="44:51" s="22" customFormat="1" ht="12.75" customHeight="1">
      <c r="AR142" s="29"/>
      <c r="AS142" s="29"/>
      <c r="AT142" s="29"/>
      <c r="AU142" s="29"/>
      <c r="AV142" s="29"/>
      <c r="AW142" s="29"/>
      <c r="AX142" s="29"/>
      <c r="AY142" s="29"/>
    </row>
    <row r="143" spans="44:51" s="22" customFormat="1" ht="12.75" customHeight="1">
      <c r="AR143" s="29"/>
      <c r="AS143" s="29"/>
      <c r="AT143" s="29"/>
      <c r="AU143" s="29"/>
      <c r="AV143" s="29"/>
      <c r="AW143" s="29"/>
      <c r="AX143" s="29"/>
      <c r="AY143" s="29"/>
    </row>
    <row r="144" spans="44:51" s="22" customFormat="1" ht="12.75" customHeight="1">
      <c r="AR144" s="29"/>
      <c r="AS144" s="29"/>
      <c r="AT144" s="29"/>
      <c r="AU144" s="29"/>
      <c r="AV144" s="29"/>
      <c r="AW144" s="29"/>
      <c r="AX144" s="29"/>
      <c r="AY144" s="29"/>
    </row>
    <row r="145" spans="44:51" s="22" customFormat="1" ht="12.75" customHeight="1">
      <c r="AR145" s="29"/>
      <c r="AS145" s="29"/>
      <c r="AT145" s="29"/>
      <c r="AU145" s="29"/>
      <c r="AV145" s="29"/>
      <c r="AW145" s="29"/>
      <c r="AX145" s="29"/>
      <c r="AY145" s="29"/>
    </row>
    <row r="146" spans="44:51" s="22" customFormat="1" ht="12.75" customHeight="1">
      <c r="AR146" s="29"/>
      <c r="AS146" s="29"/>
      <c r="AT146" s="29"/>
      <c r="AU146" s="29"/>
      <c r="AV146" s="29"/>
      <c r="AW146" s="29"/>
      <c r="AX146" s="29"/>
      <c r="AY146" s="29"/>
    </row>
    <row r="147" spans="44:51" s="22" customFormat="1" ht="12.75" customHeight="1">
      <c r="AR147" s="29"/>
      <c r="AS147" s="29"/>
      <c r="AT147" s="29"/>
      <c r="AU147" s="29"/>
      <c r="AV147" s="29"/>
      <c r="AW147" s="29"/>
      <c r="AX147" s="29"/>
      <c r="AY147" s="29"/>
    </row>
    <row r="148" spans="44:51" s="22" customFormat="1" ht="12.75" customHeight="1">
      <c r="AR148" s="29"/>
      <c r="AS148" s="29"/>
      <c r="AT148" s="29"/>
      <c r="AU148" s="29"/>
      <c r="AV148" s="29"/>
      <c r="AW148" s="29"/>
      <c r="AX148" s="29"/>
      <c r="AY148" s="29"/>
    </row>
    <row r="149" spans="44:51" s="22" customFormat="1" ht="12.75" customHeight="1">
      <c r="AR149" s="29"/>
      <c r="AS149" s="29"/>
      <c r="AT149" s="29"/>
      <c r="AU149" s="29"/>
      <c r="AV149" s="29"/>
      <c r="AW149" s="29"/>
      <c r="AX149" s="29"/>
      <c r="AY149" s="29"/>
    </row>
    <row r="150" spans="44:51" s="22" customFormat="1" ht="12.75" customHeight="1">
      <c r="AR150" s="29"/>
      <c r="AS150" s="29"/>
      <c r="AT150" s="29"/>
      <c r="AU150" s="29"/>
      <c r="AV150" s="29"/>
      <c r="AW150" s="29"/>
      <c r="AX150" s="29"/>
      <c r="AY150" s="29"/>
    </row>
    <row r="151" spans="44:51" s="22" customFormat="1" ht="12.75" customHeight="1">
      <c r="AR151" s="29"/>
      <c r="AS151" s="29"/>
      <c r="AT151" s="29"/>
      <c r="AU151" s="29"/>
      <c r="AV151" s="29"/>
      <c r="AW151" s="29"/>
      <c r="AX151" s="29"/>
      <c r="AY151" s="29"/>
    </row>
    <row r="152" spans="44:51" s="22" customFormat="1" ht="12.75" customHeight="1">
      <c r="AR152" s="29"/>
      <c r="AS152" s="29"/>
      <c r="AT152" s="29"/>
      <c r="AU152" s="29"/>
      <c r="AV152" s="29"/>
      <c r="AW152" s="29"/>
      <c r="AX152" s="29"/>
      <c r="AY152" s="29"/>
    </row>
    <row r="153" spans="44:51" s="22" customFormat="1" ht="12.75" customHeight="1">
      <c r="AR153" s="29"/>
      <c r="AS153" s="29"/>
      <c r="AT153" s="29"/>
      <c r="AU153" s="29"/>
      <c r="AV153" s="29"/>
      <c r="AW153" s="29"/>
      <c r="AX153" s="29"/>
      <c r="AY153" s="29"/>
    </row>
    <row r="154" spans="44:51" s="22" customFormat="1" ht="12.75" customHeight="1">
      <c r="AR154" s="29"/>
      <c r="AS154" s="29"/>
      <c r="AT154" s="29"/>
      <c r="AU154" s="29"/>
      <c r="AV154" s="29"/>
      <c r="AW154" s="29"/>
      <c r="AX154" s="29"/>
      <c r="AY154" s="29"/>
    </row>
    <row r="155" spans="44:51" s="22" customFormat="1" ht="12.75" customHeight="1">
      <c r="AR155" s="29"/>
      <c r="AS155" s="29"/>
      <c r="AT155" s="29"/>
      <c r="AU155" s="29"/>
      <c r="AV155" s="29"/>
      <c r="AW155" s="29"/>
      <c r="AX155" s="29"/>
      <c r="AY155" s="29"/>
    </row>
    <row r="156" spans="44:51" s="22" customFormat="1" ht="12.75" customHeight="1">
      <c r="AR156" s="29"/>
      <c r="AS156" s="29"/>
      <c r="AT156" s="29"/>
      <c r="AU156" s="29"/>
      <c r="AV156" s="29"/>
      <c r="AW156" s="29"/>
      <c r="AX156" s="29"/>
      <c r="AY156" s="29"/>
    </row>
    <row r="157" spans="44:51" s="22" customFormat="1" ht="12.75" customHeight="1">
      <c r="AR157" s="29"/>
      <c r="AS157" s="29"/>
      <c r="AT157" s="29"/>
      <c r="AU157" s="29"/>
      <c r="AV157" s="29"/>
      <c r="AW157" s="29"/>
      <c r="AX157" s="29"/>
      <c r="AY157" s="29"/>
    </row>
    <row r="158" spans="44:51" s="22" customFormat="1" ht="12.75" customHeight="1">
      <c r="AR158" s="29"/>
      <c r="AS158" s="29"/>
      <c r="AT158" s="29"/>
      <c r="AU158" s="29"/>
      <c r="AV158" s="29"/>
      <c r="AW158" s="29"/>
      <c r="AX158" s="29"/>
      <c r="AY158" s="29"/>
    </row>
    <row r="159" spans="44:51" s="22" customFormat="1" ht="12.75" customHeight="1">
      <c r="AR159" s="29"/>
      <c r="AS159" s="29"/>
      <c r="AT159" s="29"/>
      <c r="AU159" s="29"/>
      <c r="AV159" s="29"/>
      <c r="AW159" s="29"/>
      <c r="AX159" s="29"/>
      <c r="AY159" s="29"/>
    </row>
    <row r="160" spans="44:51" s="22" customFormat="1" ht="12.75" customHeight="1">
      <c r="AR160" s="29"/>
      <c r="AS160" s="29"/>
      <c r="AT160" s="29"/>
      <c r="AU160" s="29"/>
      <c r="AV160" s="29"/>
      <c r="AW160" s="29"/>
      <c r="AX160" s="29"/>
      <c r="AY160" s="29"/>
    </row>
    <row r="161" spans="1:51" ht="12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AR161" s="29"/>
      <c r="AS161" s="29"/>
      <c r="AT161" s="29"/>
      <c r="AU161" s="29"/>
      <c r="AV161" s="29"/>
      <c r="AW161" s="29"/>
      <c r="AX161" s="29"/>
      <c r="AY161" s="29"/>
    </row>
    <row r="162" spans="1:51" ht="12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AR162" s="29"/>
      <c r="AS162" s="29"/>
      <c r="AT162" s="29"/>
      <c r="AU162" s="29"/>
      <c r="AV162" s="29"/>
      <c r="AW162" s="29"/>
      <c r="AX162" s="29"/>
      <c r="AY162" s="29"/>
    </row>
    <row r="163" spans="1:51" ht="12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AR163" s="29"/>
      <c r="AS163" s="29"/>
      <c r="AT163" s="29"/>
      <c r="AU163" s="29"/>
      <c r="AV163" s="29"/>
      <c r="AW163" s="29"/>
      <c r="AX163" s="29"/>
      <c r="AY163" s="29"/>
    </row>
    <row r="164" spans="1:51" ht="12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AR164" s="29"/>
      <c r="AS164" s="29"/>
      <c r="AT164" s="29"/>
      <c r="AU164" s="29"/>
      <c r="AV164" s="29"/>
      <c r="AW164" s="29"/>
      <c r="AX164" s="29"/>
      <c r="AY164" s="29"/>
    </row>
    <row r="165" spans="1:51" ht="12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AR165" s="29"/>
      <c r="AS165" s="29"/>
      <c r="AT165" s="29"/>
      <c r="AU165" s="29"/>
      <c r="AV165" s="29"/>
      <c r="AW165" s="29"/>
      <c r="AX165" s="29"/>
      <c r="AY165" s="29"/>
    </row>
    <row r="166" spans="1:51" ht="12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AR166" s="29"/>
      <c r="AS166" s="29"/>
      <c r="AT166" s="29"/>
      <c r="AU166" s="29"/>
      <c r="AV166" s="29"/>
      <c r="AW166" s="29"/>
      <c r="AX166" s="29"/>
      <c r="AY166" s="29"/>
    </row>
    <row r="167" spans="1:51" ht="12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AR167" s="29"/>
      <c r="AS167" s="29"/>
      <c r="AT167" s="29"/>
      <c r="AU167" s="29"/>
      <c r="AV167" s="29"/>
      <c r="AW167" s="29"/>
      <c r="AX167" s="29"/>
      <c r="AY167" s="29"/>
    </row>
    <row r="168" spans="1:51" ht="12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AR168" s="29"/>
      <c r="AS168" s="29"/>
      <c r="AT168" s="29"/>
      <c r="AU168" s="29"/>
      <c r="AV168" s="29"/>
      <c r="AW168" s="29"/>
      <c r="AX168" s="29"/>
      <c r="AY168" s="29"/>
    </row>
    <row r="169" spans="1:51" ht="12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AR169" s="29"/>
      <c r="AS169" s="29"/>
      <c r="AT169" s="29"/>
      <c r="AU169" s="29"/>
      <c r="AV169" s="29"/>
      <c r="AW169" s="29"/>
      <c r="AX169" s="29"/>
      <c r="AY169" s="29"/>
    </row>
    <row r="170" spans="1:51" ht="12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AR170" s="29"/>
      <c r="AS170" s="29"/>
      <c r="AT170" s="29"/>
      <c r="AU170" s="29"/>
      <c r="AV170" s="29"/>
      <c r="AW170" s="29"/>
      <c r="AX170" s="29"/>
      <c r="AY170" s="29"/>
    </row>
    <row r="171" spans="1:51" ht="12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AR171" s="29"/>
      <c r="AS171" s="29"/>
      <c r="AT171" s="29"/>
      <c r="AU171" s="29"/>
      <c r="AV171" s="29"/>
      <c r="AW171" s="29"/>
      <c r="AX171" s="29"/>
      <c r="AY171" s="29"/>
    </row>
    <row r="172" spans="1:51" ht="12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</row>
    <row r="173" spans="1:51" ht="12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</row>
    <row r="174" spans="1:51" ht="12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</row>
    <row r="175" spans="1:51" ht="12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</row>
    <row r="176" spans="1:51" ht="12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</row>
    <row r="177" spans="1:51" ht="12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</row>
    <row r="178" spans="1:51" ht="12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</row>
    <row r="179" spans="1:51" ht="12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</row>
    <row r="180" spans="1:51" ht="12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</row>
    <row r="181" spans="1:51" ht="12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</row>
    <row r="182" spans="1:51" ht="12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</row>
    <row r="183" spans="1:51" ht="12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</row>
    <row r="184" spans="1:51" ht="12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</row>
    <row r="185" spans="1:51" ht="12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</row>
    <row r="186" spans="1:51" ht="12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</row>
    <row r="187" spans="1:51" ht="12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</row>
    <row r="188" spans="1:51" ht="12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</row>
    <row r="189" spans="1:51" ht="12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</row>
    <row r="190" spans="1:51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</row>
    <row r="191" spans="1:5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</row>
    <row r="192" spans="1:51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</row>
    <row r="193" spans="1:51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</row>
    <row r="194" spans="1:51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</row>
    <row r="195" spans="1:5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</row>
    <row r="196" spans="1:51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</row>
    <row r="197" spans="1:51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</row>
    <row r="198" spans="1:51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</row>
    <row r="199" spans="1:51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</row>
    <row r="200" spans="1:51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</row>
    <row r="201" spans="1:5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</row>
    <row r="202" spans="1:51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</row>
    <row r="203" spans="1:51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</row>
    <row r="204" spans="1:51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</row>
    <row r="205" spans="1:51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</row>
    <row r="206" spans="1:51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</row>
    <row r="207" spans="1:51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</row>
    <row r="208" spans="1:51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</row>
    <row r="209" spans="1:51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</row>
    <row r="210" spans="1:51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</row>
    <row r="211" spans="1:5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</row>
    <row r="212" spans="1:51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</row>
    <row r="213" spans="1:51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</row>
    <row r="214" spans="1:51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</row>
    <row r="215" spans="1:51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</row>
    <row r="216" spans="1:51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</row>
    <row r="217" spans="1:51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</row>
    <row r="218" spans="1:51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</row>
    <row r="219" spans="1:51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</row>
    <row r="220" spans="1:51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</row>
    <row r="221" spans="1:5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</row>
    <row r="222" spans="1:51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</row>
    <row r="223" spans="1:51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</row>
    <row r="224" spans="1:51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</row>
    <row r="225" spans="1:51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</row>
    <row r="226" spans="1:51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</row>
    <row r="227" spans="1:51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</row>
    <row r="228" spans="1:51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</row>
    <row r="229" spans="1:51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</row>
    <row r="230" spans="1:51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</row>
    <row r="231" spans="1:5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</row>
    <row r="232" spans="1:51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</row>
    <row r="233" spans="1:51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</row>
    <row r="234" spans="1:51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</row>
    <row r="235" spans="1:51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</row>
    <row r="236" spans="1:51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</row>
    <row r="237" spans="1:51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</row>
    <row r="238" spans="1:51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</row>
    <row r="239" spans="1:51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</row>
    <row r="240" spans="1:51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</row>
    <row r="241" spans="1:5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</row>
    <row r="242" spans="1:51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</row>
    <row r="243" spans="1:51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</row>
    <row r="244" spans="1:51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</row>
    <row r="245" spans="1:51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</row>
    <row r="246" spans="1:51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</row>
    <row r="247" spans="1:51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</row>
    <row r="248" spans="1:51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</row>
    <row r="249" spans="1:51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</row>
    <row r="250" spans="1:51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</row>
    <row r="251" spans="1: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</row>
    <row r="252" spans="1:51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</row>
    <row r="253" spans="1:51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</row>
    <row r="254" spans="1:51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</row>
    <row r="255" spans="1:51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</row>
    <row r="256" spans="1:51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</row>
    <row r="257" spans="1:51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</row>
    <row r="258" spans="1:51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</row>
    <row r="259" spans="1:51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</row>
    <row r="260" spans="1:51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</row>
    <row r="261" spans="1:5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</row>
    <row r="262" spans="1:51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</row>
    <row r="263" spans="1:51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</row>
    <row r="264" spans="1:51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</row>
    <row r="265" spans="1:51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</row>
    <row r="266" spans="1:51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</row>
    <row r="267" spans="1:51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</row>
    <row r="268" spans="1:51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</row>
    <row r="269" spans="1:51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</row>
    <row r="270" spans="1:51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</row>
    <row r="271" spans="1:5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</row>
    <row r="272" spans="1:51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</row>
    <row r="273" spans="1:51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</row>
    <row r="274" spans="1:51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</row>
    <row r="275" spans="1:51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</row>
    <row r="276" spans="1:51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</row>
    <row r="277" spans="1:51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</row>
    <row r="278" spans="1:51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</row>
    <row r="279" spans="1:51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</row>
    <row r="280" spans="1:51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</row>
    <row r="281" spans="1:5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</row>
    <row r="282" spans="1:51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</row>
    <row r="283" spans="1:51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</row>
    <row r="284" spans="1:51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</row>
    <row r="285" spans="1:51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</row>
    <row r="286" spans="1:51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</row>
    <row r="287" spans="1:51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</row>
    <row r="288" spans="1:51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</row>
    <row r="289" spans="1:51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</row>
    <row r="290" spans="1:51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</row>
    <row r="291" spans="1:5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</row>
    <row r="292" spans="1:51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</row>
    <row r="293" spans="1:51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</row>
    <row r="294" spans="1:51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</row>
    <row r="295" spans="1:51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</row>
    <row r="296" spans="1:51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</row>
    <row r="297" spans="1:51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</row>
    <row r="298" spans="1:51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</row>
    <row r="299" spans="1:51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</row>
    <row r="300" spans="1:51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</row>
    <row r="301" spans="1:5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</row>
    <row r="302" spans="1:51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</row>
    <row r="303" spans="1:51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</row>
    <row r="304" spans="1:51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</row>
    <row r="305" spans="1:51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</row>
    <row r="306" spans="1:51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</row>
    <row r="307" spans="1:51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</row>
    <row r="308" spans="1:51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</row>
    <row r="309" spans="1:51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</row>
    <row r="310" spans="1:51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</row>
    <row r="311" spans="1:5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</row>
    <row r="312" spans="1:51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</row>
    <row r="313" spans="1:51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</row>
    <row r="314" spans="1:51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</row>
    <row r="315" spans="1:51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</row>
    <row r="316" spans="1:51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</row>
    <row r="317" spans="1:51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</row>
    <row r="318" spans="1:51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</row>
    <row r="319" spans="1:51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</row>
    <row r="320" spans="1:51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</row>
    <row r="321" spans="1:5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</row>
    <row r="322" spans="1:51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</row>
    <row r="323" spans="1:51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</row>
    <row r="324" spans="1:51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</row>
    <row r="325" spans="1:51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</row>
    <row r="326" spans="1:51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</row>
    <row r="327" spans="1:51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</row>
    <row r="328" spans="1:51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</row>
    <row r="329" spans="1:51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</row>
    <row r="330" spans="1:51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</row>
    <row r="331" spans="1:5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</row>
    <row r="332" spans="1:51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</row>
    <row r="333" spans="1:51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</row>
    <row r="334" spans="1:51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</row>
    <row r="335" spans="1:51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</row>
    <row r="336" spans="1:51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</row>
    <row r="337" spans="1:51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</row>
    <row r="338" spans="1:51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</row>
    <row r="339" spans="1:51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</row>
    <row r="340" spans="1:51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</row>
    <row r="341" spans="1:5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</row>
    <row r="342" spans="1:51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</row>
    <row r="343" spans="1:51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</row>
    <row r="344" spans="1:51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</row>
    <row r="345" spans="1:51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</row>
    <row r="346" spans="1:51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</row>
    <row r="347" spans="1:51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</row>
    <row r="348" spans="1:51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</row>
    <row r="349" spans="1:51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</row>
    <row r="350" spans="1:51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</row>
    <row r="351" spans="1: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</row>
    <row r="352" spans="1:45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</row>
    <row r="353" spans="1:45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</row>
    <row r="354" spans="1:45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</row>
    <row r="355" spans="1:4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</row>
    <row r="356" spans="1:45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</row>
    <row r="357" spans="1:45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</row>
    <row r="358" spans="1:45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</row>
    <row r="359" spans="1:45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</row>
    <row r="360" spans="1:45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</row>
    <row r="361" spans="1:45" ht="12.75" customHeight="1">
      <c r="A361" s="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</row>
    <row r="362" spans="1:45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</row>
    <row r="363" spans="1:45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</row>
    <row r="364" spans="1:45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</row>
    <row r="365" spans="1:4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</row>
    <row r="366" spans="1:45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</row>
    <row r="367" spans="1:45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</row>
    <row r="368" spans="1:45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</row>
    <row r="369" spans="1:45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</row>
    <row r="370" spans="1:45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</row>
    <row r="371" spans="1:45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</row>
    <row r="372" spans="1:45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</row>
    <row r="373" spans="1:45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</row>
    <row r="374" spans="1:45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</row>
    <row r="375" spans="1:4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</row>
    <row r="376" spans="1:45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</row>
    <row r="377" spans="1:45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</row>
    <row r="378" spans="1:45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</row>
    <row r="379" spans="1:45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</row>
    <row r="380" spans="1:45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</row>
    <row r="381" spans="1:45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</row>
    <row r="382" spans="1:45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</row>
    <row r="383" spans="1:45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</row>
    <row r="384" spans="1:45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</row>
    <row r="385" spans="1:4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</row>
    <row r="386" spans="1:45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</row>
    <row r="387" spans="1:45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</row>
    <row r="388" spans="1:45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</row>
    <row r="389" spans="1:45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</row>
    <row r="390" spans="1:45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</row>
    <row r="391" spans="1:45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</row>
    <row r="392" spans="1:45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</row>
    <row r="393" spans="1:45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</row>
    <row r="394" spans="1:45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</row>
    <row r="395" spans="1:4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</row>
    <row r="396" spans="1:45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</row>
    <row r="397" spans="1:45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</row>
    <row r="398" spans="1:45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</row>
    <row r="399" spans="1:45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</row>
    <row r="400" spans="1:45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</row>
    <row r="401" spans="1:45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</row>
    <row r="402" spans="1:45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</row>
    <row r="403" spans="1:45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</row>
    <row r="404" spans="1:45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</row>
    <row r="405" spans="1:4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</row>
    <row r="406" spans="1:45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</row>
    <row r="407" spans="1:45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</row>
    <row r="408" spans="1:45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</row>
    <row r="409" spans="1:45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</row>
    <row r="410" spans="1:45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</row>
    <row r="411" spans="1:45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</row>
    <row r="412" spans="1:45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</row>
    <row r="413" spans="1:45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</row>
    <row r="414" spans="1:45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</row>
    <row r="416" spans="1:45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</row>
    <row r="417" spans="1:45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</row>
    <row r="418" spans="1:45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</row>
    <row r="420" spans="1:45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</row>
    <row r="422" spans="1:45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</row>
    <row r="423" spans="1:45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</row>
    <row r="424" spans="1:45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</row>
    <row r="425" spans="1:4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</row>
    <row r="426" spans="1:45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</row>
    <row r="427" spans="1:45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</row>
    <row r="428" spans="1:45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</row>
    <row r="429" spans="1:45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</row>
    <row r="430" spans="1:45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</row>
    <row r="431" spans="1:45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</row>
    <row r="432" spans="1:45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</row>
    <row r="433" spans="1:45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</row>
    <row r="434" spans="1:45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</row>
    <row r="435" spans="1:4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</row>
    <row r="436" spans="1:45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</row>
    <row r="437" spans="1:45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</row>
    <row r="438" spans="1:45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</row>
    <row r="439" spans="1:45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</row>
    <row r="440" spans="1:45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</row>
    <row r="441" spans="1:45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</row>
    <row r="442" spans="1:45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</row>
    <row r="443" spans="1:45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</row>
    <row r="444" spans="1:45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</row>
    <row r="445" spans="1: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</row>
    <row r="446" spans="1:45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</row>
    <row r="447" spans="1:45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</row>
    <row r="448" spans="1:45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</row>
    <row r="449" spans="1:45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</row>
    <row r="450" spans="1:45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</row>
    <row r="451" spans="1:45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</row>
    <row r="452" spans="1:45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</row>
    <row r="453" spans="1:45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</row>
    <row r="454" spans="1:45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</row>
    <row r="455" spans="1:4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</row>
    <row r="456" spans="1:45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</row>
    <row r="457" spans="1:45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</row>
    <row r="458" spans="1:45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</row>
    <row r="459" spans="1:45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</row>
    <row r="460" spans="1:45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</row>
    <row r="461" spans="1:45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</row>
    <row r="462" spans="1:45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</row>
    <row r="463" spans="1:45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</row>
    <row r="464" spans="1:45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</row>
    <row r="465" spans="1:4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</row>
    <row r="466" spans="1:45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</row>
    <row r="467" spans="1:45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</row>
    <row r="468" spans="1:45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</row>
    <row r="469" spans="1:45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</row>
    <row r="470" spans="1:45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</row>
    <row r="471" spans="1:45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</row>
    <row r="472" spans="1:45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</row>
    <row r="473" spans="1:45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</row>
    <row r="474" spans="1:45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</row>
    <row r="475" spans="1:4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</row>
    <row r="476" spans="1:45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</row>
    <row r="477" spans="1:45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</row>
    <row r="478" spans="1:45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</row>
    <row r="479" spans="1:45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</row>
    <row r="480" spans="1:45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</row>
    <row r="481" spans="1:45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</row>
    <row r="482" spans="1:45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</row>
    <row r="483" spans="1:45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</row>
    <row r="484" spans="1:45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</row>
    <row r="485" spans="1:4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</row>
    <row r="486" spans="1:45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</row>
    <row r="487" spans="1:45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</row>
    <row r="488" spans="1:45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</row>
    <row r="489" spans="1:45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</row>
    <row r="490" spans="1:45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</row>
    <row r="491" spans="1:45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</row>
    <row r="492" spans="1:45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</row>
    <row r="493" spans="1:45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</row>
    <row r="494" spans="1:45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</row>
    <row r="495" spans="1:4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</row>
    <row r="496" spans="1:45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</row>
    <row r="497" spans="1:45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</row>
    <row r="498" spans="1:45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</row>
    <row r="499" spans="1:45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</row>
    <row r="500" spans="1:45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</row>
    <row r="501" spans="1:45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</row>
    <row r="502" spans="1:45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</row>
    <row r="503" spans="1:45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</row>
    <row r="504" spans="1:45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</row>
    <row r="505" spans="1:4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</row>
    <row r="506" spans="1:45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</row>
    <row r="507" spans="1:45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</row>
    <row r="508" spans="1:45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</row>
    <row r="509" spans="1:45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</row>
    <row r="510" spans="1:45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</row>
    <row r="511" spans="1:45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</row>
    <row r="512" spans="1:45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</row>
    <row r="513" spans="1:45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</row>
    <row r="514" spans="1:45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</row>
    <row r="515" spans="1:4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</row>
    <row r="516" spans="1:45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</row>
    <row r="517" spans="1:45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</row>
    <row r="518" spans="1:45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</row>
    <row r="519" spans="1:45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</row>
    <row r="520" spans="1:45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</row>
    <row r="521" spans="1:45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</row>
    <row r="522" spans="1:45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</row>
    <row r="523" spans="1:45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</row>
    <row r="524" spans="1:45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</row>
    <row r="525" spans="1:4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</row>
    <row r="526" spans="1:45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</row>
    <row r="527" spans="1:45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</row>
    <row r="528" spans="1:45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</row>
    <row r="529" spans="1:45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</row>
    <row r="530" spans="1:45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</row>
    <row r="531" spans="1:45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</row>
    <row r="532" spans="1:45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</row>
    <row r="533" spans="1:45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</row>
    <row r="534" spans="1:45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</row>
    <row r="535" spans="1:4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</row>
    <row r="536" spans="1:45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</row>
    <row r="537" spans="1:45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</row>
    <row r="538" spans="1:45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</row>
    <row r="539" spans="1:45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</row>
    <row r="540" spans="1:45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</row>
    <row r="541" spans="1:45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</row>
    <row r="542" spans="1:45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</row>
    <row r="543" spans="1:45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</row>
    <row r="544" spans="1:45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</row>
    <row r="545" spans="1: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</row>
    <row r="546" spans="1:45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</row>
    <row r="547" spans="1:45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</row>
    <row r="548" spans="1:45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</row>
    <row r="549" spans="1:45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</row>
    <row r="550" spans="1:45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</row>
    <row r="551" spans="1:45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</row>
    <row r="552" spans="1:45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</row>
    <row r="553" spans="1:45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</row>
    <row r="554" spans="1:45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</row>
    <row r="555" spans="1:4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</row>
    <row r="556" spans="1:45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</row>
    <row r="557" spans="1:45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</row>
    <row r="558" spans="1:45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</row>
    <row r="559" spans="1:45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</row>
    <row r="560" spans="1:45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</row>
    <row r="561" spans="1:45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</row>
    <row r="562" spans="1:45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</row>
    <row r="563" spans="1:45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</row>
    <row r="564" spans="1:45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</row>
    <row r="565" spans="1:4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</row>
    <row r="566" spans="1:45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</row>
    <row r="567" spans="1:45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</row>
    <row r="568" spans="1:45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</row>
    <row r="569" spans="1:45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</row>
    <row r="570" spans="1:45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</row>
    <row r="571" spans="1:45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</row>
    <row r="572" spans="1:45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</row>
    <row r="573" spans="1:45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</row>
    <row r="574" spans="1:45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</row>
    <row r="575" spans="1:4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</row>
    <row r="576" spans="1:45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</row>
    <row r="577" spans="1:45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</row>
    <row r="578" spans="1:45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</row>
    <row r="579" spans="1:45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</row>
    <row r="580" spans="1:45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</row>
    <row r="581" spans="1:45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</row>
    <row r="582" spans="1:45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</row>
    <row r="583" spans="1:45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</row>
    <row r="584" spans="1:45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</row>
    <row r="585" spans="1:4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</row>
    <row r="586" spans="1:45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</row>
    <row r="587" spans="1:45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</row>
    <row r="588" spans="1:45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</row>
    <row r="589" spans="1:45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</row>
    <row r="590" spans="1:45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</row>
    <row r="591" spans="1:45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</row>
    <row r="592" spans="1:45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</row>
    <row r="593" spans="1:45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</row>
    <row r="594" spans="1:45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</row>
    <row r="595" spans="1:4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</row>
    <row r="596" spans="1:45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</row>
    <row r="597" spans="1:45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</row>
    <row r="598" spans="1:45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</row>
    <row r="599" spans="1:45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</row>
    <row r="600" spans="1:45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</row>
    <row r="601" spans="1:45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</row>
    <row r="602" spans="1:45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</row>
    <row r="603" spans="1:45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</row>
    <row r="604" spans="1:45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</row>
    <row r="605" spans="1:4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</row>
    <row r="606" spans="1:45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</row>
    <row r="607" spans="1:45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</row>
    <row r="608" spans="1:45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</row>
    <row r="609" spans="1:45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</row>
    <row r="610" spans="1:45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</row>
    <row r="611" spans="1:45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</row>
    <row r="612" spans="1:45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</row>
    <row r="613" spans="1:45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</row>
    <row r="614" spans="1:45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</row>
    <row r="615" spans="1:4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</row>
    <row r="616" spans="1:45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</row>
    <row r="617" spans="1:45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</row>
    <row r="618" spans="1:45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</row>
    <row r="619" spans="1:45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</row>
    <row r="620" spans="1:45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</row>
    <row r="621" spans="1:45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</row>
    <row r="622" spans="1:45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</row>
    <row r="623" spans="1:45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</row>
    <row r="624" spans="1:45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</row>
    <row r="625" spans="1:4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</row>
    <row r="626" spans="1:45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</row>
    <row r="627" spans="1:45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</row>
    <row r="628" spans="1:45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</row>
    <row r="629" spans="1:45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</row>
    <row r="630" spans="1:45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</row>
    <row r="631" spans="1:45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</row>
    <row r="632" spans="1:45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</row>
    <row r="633" spans="1:45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</row>
    <row r="634" spans="1:45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</row>
    <row r="635" spans="1:4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</row>
    <row r="636" spans="1:45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</row>
    <row r="637" spans="1:45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</row>
    <row r="638" spans="1:45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</row>
    <row r="639" spans="1:45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</row>
    <row r="640" spans="1:45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</row>
    <row r="641" spans="1:45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</row>
    <row r="642" spans="1:45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</row>
    <row r="643" spans="1:45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</row>
    <row r="644" spans="1:45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</row>
    <row r="645" spans="1: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</row>
    <row r="646" spans="1:45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</row>
    <row r="647" spans="1:45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</row>
    <row r="648" spans="1:45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</row>
    <row r="649" spans="1:45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</row>
    <row r="650" spans="1:45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</row>
    <row r="651" spans="1:45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</row>
    <row r="652" spans="1:45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</row>
    <row r="653" spans="1:45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</row>
    <row r="654" spans="1:45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</row>
    <row r="655" spans="1:4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</row>
    <row r="656" spans="1:45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</row>
    <row r="657" spans="1:45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</row>
    <row r="658" spans="1:45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</row>
    <row r="659" spans="1:45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</row>
    <row r="660" spans="1:45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</row>
    <row r="661" spans="1:45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</row>
    <row r="662" spans="1:45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</row>
    <row r="663" spans="1:45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</row>
    <row r="664" spans="1:45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</row>
    <row r="665" spans="1:4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</row>
    <row r="666" spans="1:45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</row>
    <row r="667" spans="1:45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</row>
    <row r="668" spans="1:45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</row>
    <row r="669" spans="1:45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</row>
    <row r="670" spans="1:45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</row>
    <row r="671" spans="1:45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</row>
    <row r="672" spans="1:45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</row>
    <row r="673" spans="1:45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</row>
    <row r="674" spans="1:45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</row>
    <row r="675" spans="1:4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</row>
    <row r="676" spans="1:45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</row>
    <row r="677" spans="1:45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</row>
    <row r="678" spans="1:45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</row>
    <row r="679" spans="1:45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</row>
    <row r="680" spans="1:45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</row>
    <row r="681" spans="1:45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</row>
    <row r="682" spans="1:45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</row>
    <row r="683" spans="1:45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</row>
    <row r="684" spans="1:45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</row>
    <row r="685" spans="1:4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</row>
    <row r="686" spans="1:45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</row>
    <row r="687" spans="1:45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</row>
    <row r="688" spans="1:45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</row>
    <row r="689" spans="1:45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</row>
    <row r="690" spans="1:45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</row>
    <row r="691" spans="1:45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</row>
    <row r="692" spans="1:45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</row>
    <row r="693" spans="1:45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</row>
    <row r="694" spans="1:45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</row>
    <row r="695" spans="1:4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</row>
    <row r="696" spans="1:45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</row>
    <row r="697" spans="1:45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</row>
    <row r="698" spans="1:45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</row>
    <row r="699" spans="1:45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</row>
    <row r="700" spans="1:45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</row>
    <row r="701" spans="1:45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</row>
    <row r="702" spans="1:45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</row>
    <row r="703" spans="1:45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</row>
    <row r="704" spans="1:45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</row>
    <row r="705" spans="1:4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</row>
    <row r="706" spans="1:45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</row>
    <row r="707" spans="1:45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</row>
    <row r="708" spans="1:45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</row>
    <row r="709" spans="1:45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</row>
    <row r="710" spans="1:45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</row>
    <row r="711" spans="1:45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</row>
    <row r="712" spans="1:45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</row>
    <row r="713" spans="1:45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</row>
    <row r="714" spans="1:45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</row>
    <row r="715" spans="1:4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</row>
    <row r="716" spans="1:45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</row>
    <row r="717" spans="1:45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</row>
    <row r="718" spans="1:45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</row>
    <row r="719" spans="1:45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</row>
    <row r="720" spans="1:45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</row>
    <row r="721" spans="1:45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</row>
    <row r="722" spans="1:45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</row>
    <row r="723" spans="1:45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</row>
    <row r="724" spans="1:45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</row>
    <row r="725" spans="1:4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</row>
    <row r="726" spans="1:45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</row>
    <row r="727" spans="1:45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</row>
    <row r="728" spans="1:45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</row>
    <row r="729" spans="1:45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</row>
    <row r="730" spans="1:45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</row>
    <row r="731" spans="26:38" ht="12.75" customHeight="1"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</row>
    <row r="732" spans="26:38" ht="12.75" customHeight="1"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</row>
    <row r="733" spans="26:38" ht="12.75" customHeight="1"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</row>
  </sheetData>
  <sheetProtection password="CDBE" sheet="1" objects="1" scenarios="1"/>
  <mergeCells count="14">
    <mergeCell ref="A6:W6"/>
    <mergeCell ref="U2:V2"/>
    <mergeCell ref="U3:V3"/>
    <mergeCell ref="U4:V4"/>
    <mergeCell ref="B33:K34"/>
    <mergeCell ref="M33:V34"/>
    <mergeCell ref="A11:E11"/>
    <mergeCell ref="A12:E12"/>
    <mergeCell ref="G11:K11"/>
    <mergeCell ref="G12:K12"/>
    <mergeCell ref="M11:Q11"/>
    <mergeCell ref="M12:Q12"/>
    <mergeCell ref="S11:W11"/>
    <mergeCell ref="S12:W12"/>
  </mergeCells>
  <printOptions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Rettig Lämpö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 Iivonen</dc:creator>
  <cp:keywords/>
  <dc:description/>
  <cp:lastModifiedBy>Mats Bergvall</cp:lastModifiedBy>
  <cp:lastPrinted>2007-12-14T11:37:03Z</cp:lastPrinted>
  <dcterms:created xsi:type="dcterms:W3CDTF">2000-09-03T10:36:45Z</dcterms:created>
  <dcterms:modified xsi:type="dcterms:W3CDTF">2007-12-14T11:37:08Z</dcterms:modified>
  <cp:category/>
  <cp:version/>
  <cp:contentType/>
  <cp:contentStatus/>
</cp:coreProperties>
</file>