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0370" windowHeight="8355" firstSheet="1" activeTab="4"/>
  </bookViews>
  <sheets>
    <sheet name="FMK" sheetId="1" state="hidden" r:id="rId1"/>
    <sheet name="F1T" sheetId="2" r:id="rId2"/>
    <sheet name="F1P" sheetId="3" r:id="rId3"/>
    <sheet name="F2C" sheetId="4" r:id="rId4"/>
    <sheet name="F4C" sheetId="5" r:id="rId5"/>
  </sheets>
  <calcPr calcId="145621"/>
</workbook>
</file>

<file path=xl/calcChain.xml><?xml version="1.0" encoding="utf-8"?>
<calcChain xmlns="http://schemas.openxmlformats.org/spreadsheetml/2006/main">
  <c r="B41" i="4" l="1"/>
  <c r="B41" i="5"/>
  <c r="B40" i="3"/>
  <c r="B40" i="2"/>
  <c r="T27" i="1" l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L70" i="1" l="1"/>
  <c r="L71" i="1"/>
  <c r="L73" i="1"/>
  <c r="L74" i="1"/>
  <c r="L75" i="1"/>
  <c r="L77" i="1"/>
  <c r="L78" i="1"/>
  <c r="L79" i="1"/>
  <c r="L81" i="1"/>
  <c r="L82" i="1"/>
  <c r="L83" i="1"/>
  <c r="L84" i="1"/>
  <c r="L69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L72" i="1"/>
  <c r="L76" i="1"/>
  <c r="L80" i="1"/>
  <c r="D8" i="5" l="1"/>
  <c r="D8" i="4"/>
  <c r="D7" i="3"/>
  <c r="D7" i="2"/>
  <c r="C15" i="5" l="1"/>
  <c r="C72" i="5" s="1"/>
  <c r="C97" i="5" s="1"/>
  <c r="C14" i="5"/>
  <c r="C71" i="5" s="1"/>
  <c r="C96" i="5" s="1"/>
  <c r="C13" i="5"/>
  <c r="C14" i="4"/>
  <c r="C13" i="4"/>
  <c r="C70" i="4" s="1"/>
  <c r="C93" i="4" s="1"/>
  <c r="C15" i="4"/>
  <c r="C72" i="4" s="1"/>
  <c r="C95" i="4" s="1"/>
  <c r="C16" i="4"/>
  <c r="C73" i="4" s="1"/>
  <c r="C96" i="4" s="1"/>
  <c r="J26" i="2"/>
  <c r="J22" i="2"/>
  <c r="J18" i="2"/>
  <c r="J14" i="2"/>
  <c r="I27" i="2"/>
  <c r="I23" i="2"/>
  <c r="I80" i="2" s="1"/>
  <c r="I103" i="2" s="1"/>
  <c r="I19" i="2"/>
  <c r="I15" i="2"/>
  <c r="I72" i="2" s="1"/>
  <c r="I95" i="2" s="1"/>
  <c r="H27" i="2"/>
  <c r="H84" i="2" s="1"/>
  <c r="H107" i="2" s="1"/>
  <c r="H26" i="2"/>
  <c r="H19" i="2"/>
  <c r="H76" i="2" s="1"/>
  <c r="H99" i="2" s="1"/>
  <c r="H15" i="2"/>
  <c r="E27" i="2"/>
  <c r="E23" i="2"/>
  <c r="E19" i="2"/>
  <c r="E76" i="2" s="1"/>
  <c r="E99" i="2" s="1"/>
  <c r="E15" i="2"/>
  <c r="D27" i="2"/>
  <c r="D84" i="2" s="1"/>
  <c r="D107" i="2" s="1"/>
  <c r="D23" i="2"/>
  <c r="D80" i="2" s="1"/>
  <c r="D103" i="2" s="1"/>
  <c r="D14" i="2"/>
  <c r="D71" i="2" s="1"/>
  <c r="D94" i="2" s="1"/>
  <c r="D16" i="2"/>
  <c r="D73" i="2" s="1"/>
  <c r="D96" i="2" s="1"/>
  <c r="D15" i="2"/>
  <c r="D72" i="2" s="1"/>
  <c r="D95" i="2" s="1"/>
  <c r="J20" i="2"/>
  <c r="J12" i="2"/>
  <c r="I21" i="2"/>
  <c r="I13" i="2"/>
  <c r="H21" i="2"/>
  <c r="H13" i="2"/>
  <c r="E21" i="2"/>
  <c r="E13" i="2"/>
  <c r="D26" i="2"/>
  <c r="D83" i="2" s="1"/>
  <c r="D106" i="2" s="1"/>
  <c r="D18" i="2"/>
  <c r="D75" i="2" s="1"/>
  <c r="D98" i="2" s="1"/>
  <c r="J27" i="2"/>
  <c r="J19" i="2"/>
  <c r="I12" i="2"/>
  <c r="I16" i="2"/>
  <c r="H12" i="2"/>
  <c r="H20" i="2"/>
  <c r="C12" i="2"/>
  <c r="E20" i="2"/>
  <c r="E77" i="2" s="1"/>
  <c r="E100" i="2" s="1"/>
  <c r="E12" i="2"/>
  <c r="E69" i="2" s="1"/>
  <c r="E92" i="2" s="1"/>
  <c r="D19" i="2"/>
  <c r="D76" i="2" s="1"/>
  <c r="D99" i="2" s="1"/>
  <c r="D12" i="2"/>
  <c r="D69" i="2" s="1"/>
  <c r="D92" i="2" s="1"/>
  <c r="J25" i="2"/>
  <c r="J82" i="2" s="1"/>
  <c r="J105" i="2" s="1"/>
  <c r="J21" i="2"/>
  <c r="J17" i="2"/>
  <c r="J13" i="2"/>
  <c r="J70" i="2" s="1"/>
  <c r="J93" i="2" s="1"/>
  <c r="I26" i="2"/>
  <c r="I83" i="2" s="1"/>
  <c r="I106" i="2" s="1"/>
  <c r="I22" i="2"/>
  <c r="I18" i="2"/>
  <c r="I14" i="2"/>
  <c r="I71" i="2" s="1"/>
  <c r="I94" i="2" s="1"/>
  <c r="H24" i="2"/>
  <c r="H25" i="2"/>
  <c r="H82" i="2" s="1"/>
  <c r="H105" i="2" s="1"/>
  <c r="H18" i="2"/>
  <c r="H75" i="2" s="1"/>
  <c r="H98" i="2" s="1"/>
  <c r="H14" i="2"/>
  <c r="E26" i="2"/>
  <c r="E22" i="2"/>
  <c r="E79" i="2" s="1"/>
  <c r="E102" i="2" s="1"/>
  <c r="E18" i="2"/>
  <c r="E14" i="2"/>
  <c r="D25" i="2"/>
  <c r="D82" i="2" s="1"/>
  <c r="D105" i="2" s="1"/>
  <c r="D22" i="2"/>
  <c r="D79" i="2" s="1"/>
  <c r="D102" i="2" s="1"/>
  <c r="D21" i="2"/>
  <c r="D78" i="2" s="1"/>
  <c r="D101" i="2" s="1"/>
  <c r="J24" i="2"/>
  <c r="J81" i="2" s="1"/>
  <c r="J104" i="2" s="1"/>
  <c r="J16" i="2"/>
  <c r="J73" i="2" s="1"/>
  <c r="J96" i="2" s="1"/>
  <c r="I25" i="2"/>
  <c r="I17" i="2"/>
  <c r="H23" i="2"/>
  <c r="H17" i="2"/>
  <c r="H74" i="2" s="1"/>
  <c r="H97" i="2" s="1"/>
  <c r="E25" i="2"/>
  <c r="E17" i="2"/>
  <c r="D20" i="2"/>
  <c r="D77" i="2" s="1"/>
  <c r="D100" i="2" s="1"/>
  <c r="D13" i="2"/>
  <c r="D70" i="2" s="1"/>
  <c r="D93" i="2" s="1"/>
  <c r="J23" i="2"/>
  <c r="J15" i="2"/>
  <c r="J72" i="2" s="1"/>
  <c r="J95" i="2" s="1"/>
  <c r="I24" i="2"/>
  <c r="I81" i="2" s="1"/>
  <c r="I104" i="2" s="1"/>
  <c r="I20" i="2"/>
  <c r="H22" i="2"/>
  <c r="H16" i="2"/>
  <c r="E24" i="2"/>
  <c r="E16" i="2"/>
  <c r="D24" i="2"/>
  <c r="D81" i="2" s="1"/>
  <c r="D104" i="2" s="1"/>
  <c r="D17" i="2"/>
  <c r="D74" i="2" s="1"/>
  <c r="D97" i="2" s="1"/>
  <c r="D19" i="3"/>
  <c r="D76" i="3" s="1"/>
  <c r="D99" i="3" s="1"/>
  <c r="D15" i="3"/>
  <c r="D72" i="3" s="1"/>
  <c r="D95" i="3" s="1"/>
  <c r="C20" i="3"/>
  <c r="C16" i="3"/>
  <c r="C12" i="3"/>
  <c r="D17" i="3"/>
  <c r="D74" i="3" s="1"/>
  <c r="D97" i="3" s="1"/>
  <c r="C18" i="3"/>
  <c r="D20" i="3"/>
  <c r="D77" i="3" s="1"/>
  <c r="D100" i="3" s="1"/>
  <c r="D12" i="3"/>
  <c r="D69" i="3" s="1"/>
  <c r="D92" i="3" s="1"/>
  <c r="C13" i="3"/>
  <c r="D18" i="3"/>
  <c r="D75" i="3" s="1"/>
  <c r="D98" i="3" s="1"/>
  <c r="D14" i="3"/>
  <c r="D71" i="3" s="1"/>
  <c r="D94" i="3" s="1"/>
  <c r="C19" i="3"/>
  <c r="C76" i="3" s="1"/>
  <c r="C99" i="3" s="1"/>
  <c r="C15" i="3"/>
  <c r="C72" i="3" s="1"/>
  <c r="C95" i="3" s="1"/>
  <c r="D13" i="3"/>
  <c r="D70" i="3" s="1"/>
  <c r="D93" i="3" s="1"/>
  <c r="C14" i="3"/>
  <c r="D16" i="3"/>
  <c r="D73" i="3" s="1"/>
  <c r="D96" i="3" s="1"/>
  <c r="C17" i="3"/>
  <c r="C27" i="2"/>
  <c r="C23" i="2"/>
  <c r="C19" i="2"/>
  <c r="C15" i="2"/>
  <c r="C21" i="2"/>
  <c r="C13" i="2"/>
  <c r="C70" i="2" s="1"/>
  <c r="C93" i="2" s="1"/>
  <c r="C20" i="2"/>
  <c r="C26" i="2"/>
  <c r="C22" i="2"/>
  <c r="C79" i="2" s="1"/>
  <c r="C102" i="2" s="1"/>
  <c r="C18" i="2"/>
  <c r="C14" i="2"/>
  <c r="C71" i="2" s="1"/>
  <c r="C94" i="2" s="1"/>
  <c r="C25" i="2"/>
  <c r="C82" i="2" s="1"/>
  <c r="C105" i="2" s="1"/>
  <c r="C17" i="2"/>
  <c r="C24" i="2"/>
  <c r="C81" i="2" s="1"/>
  <c r="C104" i="2" s="1"/>
  <c r="C16" i="2"/>
  <c r="C71" i="4"/>
  <c r="C94" i="4" s="1"/>
  <c r="E7" i="1"/>
  <c r="C70" i="5" l="1"/>
  <c r="C95" i="5" s="1"/>
  <c r="E96" i="1"/>
  <c r="E95" i="1"/>
  <c r="E94" i="1"/>
  <c r="E93" i="1"/>
  <c r="E92" i="1"/>
  <c r="E106" i="1"/>
  <c r="E105" i="1"/>
  <c r="L101" i="1"/>
  <c r="E100" i="1"/>
  <c r="L103" i="1"/>
  <c r="E107" i="1"/>
  <c r="L104" i="1"/>
  <c r="E98" i="1"/>
  <c r="E101" i="1"/>
  <c r="L96" i="1"/>
  <c r="L105" i="1"/>
  <c r="E102" i="1"/>
  <c r="E103" i="1"/>
  <c r="L98" i="1"/>
  <c r="L107" i="1"/>
  <c r="E97" i="1"/>
  <c r="L95" i="1"/>
  <c r="L100" i="1"/>
  <c r="L102" i="1"/>
  <c r="E99" i="1"/>
  <c r="L93" i="1"/>
  <c r="L97" i="1"/>
  <c r="L106" i="1"/>
  <c r="E104" i="1"/>
  <c r="L94" i="1"/>
  <c r="L99" i="1"/>
  <c r="L92" i="1"/>
  <c r="C69" i="3"/>
  <c r="C92" i="3" s="1"/>
  <c r="C70" i="3"/>
  <c r="C93" i="3" s="1"/>
  <c r="C71" i="3"/>
  <c r="C94" i="3" s="1"/>
  <c r="C77" i="3"/>
  <c r="C100" i="3" s="1"/>
  <c r="C75" i="3"/>
  <c r="C98" i="3" s="1"/>
  <c r="C74" i="3"/>
  <c r="C97" i="3" s="1"/>
  <c r="C73" i="3"/>
  <c r="C96" i="3" s="1"/>
  <c r="C75" i="2"/>
  <c r="C98" i="2" s="1"/>
  <c r="E71" i="2"/>
  <c r="E94" i="2" s="1"/>
  <c r="I73" i="2"/>
  <c r="I96" i="2" s="1"/>
  <c r="J80" i="2"/>
  <c r="J103" i="2" s="1"/>
  <c r="H83" i="2"/>
  <c r="H106" i="2" s="1"/>
  <c r="C72" i="2"/>
  <c r="C95" i="2" s="1"/>
  <c r="E74" i="2"/>
  <c r="E97" i="2" s="1"/>
  <c r="I78" i="2"/>
  <c r="I101" i="2" s="1"/>
  <c r="E83" i="2"/>
  <c r="E106" i="2" s="1"/>
  <c r="H79" i="2"/>
  <c r="H102" i="2" s="1"/>
  <c r="J77" i="2"/>
  <c r="J100" i="2" s="1"/>
  <c r="J84" i="2"/>
  <c r="J107" i="2" s="1"/>
  <c r="I76" i="2"/>
  <c r="I99" i="2" s="1"/>
  <c r="J69" i="2"/>
  <c r="J92" i="2" s="1"/>
  <c r="H72" i="2"/>
  <c r="H95" i="2" s="1"/>
  <c r="I79" i="2"/>
  <c r="I102" i="2" s="1"/>
  <c r="H73" i="2"/>
  <c r="H96" i="2" s="1"/>
  <c r="J75" i="2"/>
  <c r="J98" i="2" s="1"/>
  <c r="C84" i="2"/>
  <c r="C107" i="2" s="1"/>
  <c r="E84" i="2"/>
  <c r="E107" i="2" s="1"/>
  <c r="H80" i="2"/>
  <c r="H103" i="2" s="1"/>
  <c r="J78" i="2"/>
  <c r="J101" i="2" s="1"/>
  <c r="J76" i="2"/>
  <c r="J99" i="2" s="1"/>
  <c r="C69" i="2"/>
  <c r="C92" i="2" s="1"/>
  <c r="I77" i="2"/>
  <c r="I100" i="2" s="1"/>
  <c r="I75" i="2"/>
  <c r="I98" i="2" s="1"/>
  <c r="C73" i="2"/>
  <c r="C96" i="2" s="1"/>
  <c r="J74" i="2"/>
  <c r="J97" i="2" s="1"/>
  <c r="E80" i="2"/>
  <c r="E103" i="2" s="1"/>
  <c r="C83" i="2"/>
  <c r="C106" i="2" s="1"/>
  <c r="I84" i="2"/>
  <c r="I107" i="2" s="1"/>
  <c r="C76" i="2"/>
  <c r="C99" i="2" s="1"/>
  <c r="E78" i="2"/>
  <c r="E101" i="2" s="1"/>
  <c r="H81" i="2"/>
  <c r="H104" i="2" s="1"/>
  <c r="I82" i="2"/>
  <c r="I105" i="2" s="1"/>
  <c r="J83" i="2"/>
  <c r="J106" i="2" s="1"/>
  <c r="H70" i="2"/>
  <c r="H93" i="2" s="1"/>
  <c r="E81" i="2"/>
  <c r="E104" i="2" s="1"/>
  <c r="E73" i="2"/>
  <c r="E96" i="2" s="1"/>
  <c r="H77" i="2"/>
  <c r="H100" i="2" s="1"/>
  <c r="J79" i="2"/>
  <c r="J102" i="2" s="1"/>
  <c r="E75" i="2"/>
  <c r="E98" i="2" s="1"/>
  <c r="C78" i="2"/>
  <c r="C101" i="2" s="1"/>
  <c r="E70" i="2"/>
  <c r="E93" i="2" s="1"/>
  <c r="I74" i="2"/>
  <c r="I97" i="2" s="1"/>
  <c r="C77" i="2"/>
  <c r="C100" i="2" s="1"/>
  <c r="H71" i="2"/>
  <c r="H94" i="2" s="1"/>
  <c r="I69" i="2"/>
  <c r="I92" i="2" s="1"/>
  <c r="C74" i="2"/>
  <c r="C97" i="2" s="1"/>
  <c r="E72" i="2"/>
  <c r="E95" i="2" s="1"/>
  <c r="H78" i="2"/>
  <c r="H101" i="2" s="1"/>
  <c r="H69" i="2"/>
  <c r="H92" i="2" s="1"/>
  <c r="I70" i="2"/>
  <c r="I93" i="2" s="1"/>
  <c r="J71" i="2"/>
  <c r="J94" i="2" s="1"/>
  <c r="C80" i="2"/>
  <c r="C103" i="2" s="1"/>
  <c r="E82" i="2"/>
  <c r="E105" i="2" s="1"/>
  <c r="T70" i="1"/>
  <c r="T93" i="1" s="1"/>
  <c r="T78" i="1" l="1"/>
  <c r="T101" i="1" s="1"/>
  <c r="R78" i="1"/>
  <c r="R101" i="1" s="1"/>
  <c r="P78" i="1"/>
  <c r="P101" i="1" s="1"/>
  <c r="J78" i="1"/>
  <c r="J101" i="1" s="1"/>
  <c r="F78" i="1"/>
  <c r="F101" i="1" s="1"/>
  <c r="D78" i="1"/>
  <c r="D101" i="1" s="1"/>
  <c r="B76" i="1"/>
  <c r="B99" i="1" s="1"/>
  <c r="S80" i="1"/>
  <c r="S103" i="1" s="1"/>
  <c r="Q80" i="1"/>
  <c r="Q103" i="1" s="1"/>
  <c r="M80" i="1"/>
  <c r="M103" i="1" s="1"/>
  <c r="J80" i="1"/>
  <c r="J103" i="1" s="1"/>
  <c r="F80" i="1"/>
  <c r="F103" i="1" s="1"/>
  <c r="D80" i="1"/>
  <c r="D103" i="1" s="1"/>
  <c r="C80" i="1"/>
  <c r="C103" i="1" s="1"/>
  <c r="T81" i="1"/>
  <c r="T104" i="1" s="1"/>
  <c r="R81" i="1"/>
  <c r="R104" i="1" s="1"/>
  <c r="Q81" i="1"/>
  <c r="Q104" i="1" s="1"/>
  <c r="T71" i="1"/>
  <c r="T94" i="1" s="1"/>
  <c r="F83" i="1"/>
  <c r="F106" i="1" s="1"/>
  <c r="B71" i="1"/>
  <c r="B94" i="1" s="1"/>
  <c r="M69" i="1"/>
  <c r="M92" i="1" s="1"/>
  <c r="I84" i="1"/>
  <c r="I107" i="1" s="1"/>
  <c r="S79" i="1"/>
  <c r="S102" i="1" s="1"/>
  <c r="K79" i="1"/>
  <c r="K102" i="1" s="1"/>
  <c r="M81" i="1"/>
  <c r="M104" i="1" s="1"/>
  <c r="F81" i="1"/>
  <c r="F104" i="1" s="1"/>
  <c r="D73" i="1"/>
  <c r="D96" i="1" s="1"/>
  <c r="T82" i="1"/>
  <c r="T105" i="1" s="1"/>
  <c r="R82" i="1"/>
  <c r="R105" i="1" s="1"/>
  <c r="P82" i="1"/>
  <c r="P105" i="1" s="1"/>
  <c r="J82" i="1"/>
  <c r="J105" i="1" s="1"/>
  <c r="F82" i="1"/>
  <c r="F105" i="1" s="1"/>
  <c r="D82" i="1"/>
  <c r="D105" i="1" s="1"/>
  <c r="B72" i="1"/>
  <c r="B95" i="1" s="1"/>
  <c r="S84" i="1"/>
  <c r="S107" i="1" s="1"/>
  <c r="Q84" i="1"/>
  <c r="Q107" i="1" s="1"/>
  <c r="M84" i="1"/>
  <c r="M107" i="1" s="1"/>
  <c r="K84" i="1"/>
  <c r="K107" i="1" s="1"/>
  <c r="J84" i="1"/>
  <c r="J107" i="1" s="1"/>
  <c r="F84" i="1"/>
  <c r="F107" i="1" s="1"/>
  <c r="D84" i="1"/>
  <c r="D107" i="1" s="1"/>
  <c r="B70" i="1"/>
  <c r="B93" i="1" s="1"/>
  <c r="S69" i="1"/>
  <c r="S92" i="1" s="1"/>
  <c r="Q69" i="1"/>
  <c r="Q92" i="1" s="1"/>
  <c r="S71" i="1"/>
  <c r="S94" i="1" s="1"/>
  <c r="K75" i="1"/>
  <c r="K98" i="1" s="1"/>
  <c r="C75" i="1"/>
  <c r="C98" i="1" s="1"/>
  <c r="Q75" i="1"/>
  <c r="Q98" i="1" s="1"/>
  <c r="J77" i="1"/>
  <c r="J100" i="1" s="1"/>
  <c r="D77" i="1"/>
  <c r="D100" i="1" s="1"/>
  <c r="F71" i="1"/>
  <c r="F94" i="1" s="1"/>
  <c r="B83" i="1"/>
  <c r="B106" i="1" s="1"/>
  <c r="Q83" i="1"/>
  <c r="Q106" i="1" s="1"/>
  <c r="D81" i="1"/>
  <c r="D104" i="1" s="1"/>
  <c r="S70" i="1"/>
  <c r="S93" i="1" s="1"/>
  <c r="Q70" i="1"/>
  <c r="Q93" i="1" s="1"/>
  <c r="P70" i="1"/>
  <c r="P93" i="1" s="1"/>
  <c r="M70" i="1"/>
  <c r="M93" i="1" s="1"/>
  <c r="K70" i="1"/>
  <c r="K93" i="1" s="1"/>
  <c r="J70" i="1"/>
  <c r="J93" i="1" s="1"/>
  <c r="J69" i="1"/>
  <c r="J92" i="1" s="1"/>
  <c r="F70" i="1"/>
  <c r="F93" i="1" s="1"/>
  <c r="D70" i="1"/>
  <c r="D93" i="1" s="1"/>
  <c r="C70" i="1"/>
  <c r="C93" i="1" s="1"/>
  <c r="B84" i="1"/>
  <c r="B107" i="1" s="1"/>
  <c r="T72" i="1"/>
  <c r="T95" i="1" s="1"/>
  <c r="S72" i="1"/>
  <c r="S95" i="1" s="1"/>
  <c r="R72" i="1"/>
  <c r="R95" i="1" s="1"/>
  <c r="Q72" i="1"/>
  <c r="Q95" i="1" s="1"/>
  <c r="P72" i="1"/>
  <c r="P95" i="1" s="1"/>
  <c r="M72" i="1"/>
  <c r="M95" i="1" s="1"/>
  <c r="K72" i="1"/>
  <c r="K95" i="1" s="1"/>
  <c r="J72" i="1"/>
  <c r="J95" i="1" s="1"/>
  <c r="I71" i="1"/>
  <c r="I94" i="1" s="1"/>
  <c r="F72" i="1"/>
  <c r="F95" i="1" s="1"/>
  <c r="D72" i="1"/>
  <c r="D95" i="1" s="1"/>
  <c r="C72" i="1"/>
  <c r="C95" i="1" s="1"/>
  <c r="B82" i="1"/>
  <c r="B105" i="1" s="1"/>
  <c r="T73" i="1"/>
  <c r="T96" i="1" s="1"/>
  <c r="S73" i="1"/>
  <c r="S96" i="1" s="1"/>
  <c r="R73" i="1"/>
  <c r="R96" i="1" s="1"/>
  <c r="Q73" i="1"/>
  <c r="Q96" i="1" s="1"/>
  <c r="P73" i="1"/>
  <c r="P96" i="1" s="1"/>
  <c r="M73" i="1"/>
  <c r="M96" i="1" s="1"/>
  <c r="R71" i="1"/>
  <c r="R94" i="1" s="1"/>
  <c r="M83" i="1"/>
  <c r="M106" i="1" s="1"/>
  <c r="K83" i="1"/>
  <c r="K106" i="1" s="1"/>
  <c r="I82" i="1"/>
  <c r="I105" i="1" s="1"/>
  <c r="C83" i="1"/>
  <c r="C106" i="1" s="1"/>
  <c r="T75" i="1"/>
  <c r="T98" i="1" s="1"/>
  <c r="P75" i="1"/>
  <c r="P98" i="1" s="1"/>
  <c r="I69" i="1"/>
  <c r="I92" i="1" s="1"/>
  <c r="F69" i="1"/>
  <c r="F92" i="1" s="1"/>
  <c r="D69" i="1"/>
  <c r="D92" i="1" s="1"/>
  <c r="B69" i="1"/>
  <c r="B92" i="1" s="1"/>
  <c r="Q79" i="1"/>
  <c r="Q102" i="1" s="1"/>
  <c r="J79" i="1"/>
  <c r="J102" i="1" s="1"/>
  <c r="F79" i="1"/>
  <c r="F102" i="1" s="1"/>
  <c r="D79" i="1"/>
  <c r="D102" i="1" s="1"/>
  <c r="B75" i="1"/>
  <c r="B98" i="1" s="1"/>
  <c r="I80" i="1"/>
  <c r="I103" i="1" s="1"/>
  <c r="B73" i="1"/>
  <c r="B96" i="1" s="1"/>
  <c r="B81" i="1"/>
  <c r="B104" i="1" s="1"/>
  <c r="S78" i="1"/>
  <c r="S101" i="1" s="1"/>
  <c r="Q78" i="1"/>
  <c r="Q101" i="1" s="1"/>
  <c r="M78" i="1"/>
  <c r="M101" i="1" s="1"/>
  <c r="K78" i="1"/>
  <c r="K101" i="1" s="1"/>
  <c r="I77" i="1"/>
  <c r="I100" i="1" s="1"/>
  <c r="C78" i="1"/>
  <c r="C101" i="1" s="1"/>
  <c r="T80" i="1"/>
  <c r="T103" i="1" s="1"/>
  <c r="R80" i="1"/>
  <c r="R103" i="1" s="1"/>
  <c r="P80" i="1"/>
  <c r="P103" i="1" s="1"/>
  <c r="K80" i="1"/>
  <c r="K103" i="1" s="1"/>
  <c r="I79" i="1"/>
  <c r="I102" i="1" s="1"/>
  <c r="B74" i="1"/>
  <c r="B97" i="1" s="1"/>
  <c r="S81" i="1"/>
  <c r="S104" i="1" s="1"/>
  <c r="P81" i="1"/>
  <c r="P104" i="1" s="1"/>
  <c r="P71" i="1"/>
  <c r="P94" i="1" s="1"/>
  <c r="J83" i="1"/>
  <c r="J106" i="1" s="1"/>
  <c r="D83" i="1"/>
  <c r="D106" i="1" s="1"/>
  <c r="R75" i="1"/>
  <c r="R98" i="1" s="1"/>
  <c r="K69" i="1"/>
  <c r="K92" i="1" s="1"/>
  <c r="C69" i="1"/>
  <c r="C92" i="1" s="1"/>
  <c r="M79" i="1"/>
  <c r="M102" i="1" s="1"/>
  <c r="I78" i="1"/>
  <c r="I101" i="1" s="1"/>
  <c r="C79" i="1"/>
  <c r="C102" i="1" s="1"/>
  <c r="C81" i="1"/>
  <c r="C104" i="1" s="1"/>
  <c r="K73" i="1"/>
  <c r="K96" i="1" s="1"/>
  <c r="F73" i="1"/>
  <c r="F96" i="1" s="1"/>
  <c r="S82" i="1"/>
  <c r="S105" i="1" s="1"/>
  <c r="Q82" i="1"/>
  <c r="Q105" i="1" s="1"/>
  <c r="M82" i="1"/>
  <c r="M105" i="1" s="1"/>
  <c r="K82" i="1"/>
  <c r="K105" i="1" s="1"/>
  <c r="I81" i="1"/>
  <c r="I104" i="1" s="1"/>
  <c r="C82" i="1"/>
  <c r="C105" i="1" s="1"/>
  <c r="T84" i="1"/>
  <c r="T107" i="1" s="1"/>
  <c r="R84" i="1"/>
  <c r="R107" i="1" s="1"/>
  <c r="P84" i="1"/>
  <c r="P107" i="1" s="1"/>
  <c r="I83" i="1"/>
  <c r="I106" i="1" s="1"/>
  <c r="C84" i="1"/>
  <c r="C107" i="1" s="1"/>
  <c r="T69" i="1"/>
  <c r="T92" i="1" s="1"/>
  <c r="R69" i="1"/>
  <c r="R92" i="1" s="1"/>
  <c r="M71" i="1"/>
  <c r="M94" i="1" s="1"/>
  <c r="I74" i="1"/>
  <c r="I97" i="1" s="1"/>
  <c r="T83" i="1"/>
  <c r="T106" i="1" s="1"/>
  <c r="F77" i="1"/>
  <c r="F100" i="1" s="1"/>
  <c r="B77" i="1"/>
  <c r="B100" i="1" s="1"/>
  <c r="R79" i="1"/>
  <c r="R102" i="1" s="1"/>
  <c r="J71" i="1"/>
  <c r="J94" i="1" s="1"/>
  <c r="D71" i="1"/>
  <c r="D94" i="1" s="1"/>
  <c r="K81" i="1"/>
  <c r="K104" i="1" s="1"/>
  <c r="I72" i="1"/>
  <c r="I95" i="1" s="1"/>
  <c r="R83" i="1"/>
  <c r="R106" i="1" s="1"/>
  <c r="R70" i="1"/>
  <c r="R93" i="1" s="1"/>
  <c r="T74" i="1"/>
  <c r="T97" i="1" s="1"/>
  <c r="S74" i="1"/>
  <c r="S97" i="1" s="1"/>
  <c r="R74" i="1"/>
  <c r="R97" i="1" s="1"/>
  <c r="Q74" i="1"/>
  <c r="Q97" i="1" s="1"/>
  <c r="P74" i="1"/>
  <c r="P97" i="1" s="1"/>
  <c r="M74" i="1"/>
  <c r="M97" i="1" s="1"/>
  <c r="K74" i="1"/>
  <c r="K97" i="1" s="1"/>
  <c r="J74" i="1"/>
  <c r="J97" i="1" s="1"/>
  <c r="I73" i="1"/>
  <c r="I96" i="1" s="1"/>
  <c r="F74" i="1"/>
  <c r="F97" i="1" s="1"/>
  <c r="D74" i="1"/>
  <c r="D97" i="1" s="1"/>
  <c r="C74" i="1"/>
  <c r="C97" i="1" s="1"/>
  <c r="B80" i="1"/>
  <c r="B103" i="1" s="1"/>
  <c r="T76" i="1"/>
  <c r="T99" i="1" s="1"/>
  <c r="S76" i="1"/>
  <c r="S99" i="1" s="1"/>
  <c r="R76" i="1"/>
  <c r="R99" i="1" s="1"/>
  <c r="Q76" i="1"/>
  <c r="Q99" i="1" s="1"/>
  <c r="P76" i="1"/>
  <c r="P99" i="1" s="1"/>
  <c r="M76" i="1"/>
  <c r="M99" i="1" s="1"/>
  <c r="K76" i="1"/>
  <c r="K99" i="1" s="1"/>
  <c r="J76" i="1"/>
  <c r="J99" i="1" s="1"/>
  <c r="I75" i="1"/>
  <c r="I98" i="1" s="1"/>
  <c r="F76" i="1"/>
  <c r="F99" i="1" s="1"/>
  <c r="D76" i="1"/>
  <c r="D99" i="1" s="1"/>
  <c r="C76" i="1"/>
  <c r="C99" i="1" s="1"/>
  <c r="B78" i="1"/>
  <c r="B101" i="1" s="1"/>
  <c r="T77" i="1"/>
  <c r="T100" i="1" s="1"/>
  <c r="S77" i="1"/>
  <c r="S100" i="1" s="1"/>
  <c r="R77" i="1"/>
  <c r="R100" i="1" s="1"/>
  <c r="Q77" i="1"/>
  <c r="Q100" i="1" s="1"/>
  <c r="P77" i="1"/>
  <c r="P100" i="1" s="1"/>
  <c r="M77" i="1"/>
  <c r="M100" i="1" s="1"/>
  <c r="Q71" i="1"/>
  <c r="Q94" i="1" s="1"/>
  <c r="J75" i="1"/>
  <c r="J98" i="1" s="1"/>
  <c r="F75" i="1"/>
  <c r="F98" i="1" s="1"/>
  <c r="D75" i="1"/>
  <c r="D98" i="1" s="1"/>
  <c r="B79" i="1"/>
  <c r="B102" i="1" s="1"/>
  <c r="S75" i="1"/>
  <c r="S98" i="1" s="1"/>
  <c r="M75" i="1"/>
  <c r="M98" i="1" s="1"/>
  <c r="K77" i="1"/>
  <c r="K100" i="1" s="1"/>
  <c r="I76" i="1"/>
  <c r="I99" i="1" s="1"/>
  <c r="C77" i="1"/>
  <c r="C100" i="1" s="1"/>
  <c r="T79" i="1"/>
  <c r="T102" i="1" s="1"/>
  <c r="P79" i="1"/>
  <c r="P102" i="1" s="1"/>
  <c r="K71" i="1"/>
  <c r="K94" i="1" s="1"/>
  <c r="I70" i="1"/>
  <c r="I93" i="1" s="1"/>
  <c r="C71" i="1"/>
  <c r="C94" i="1" s="1"/>
  <c r="S83" i="1"/>
  <c r="S106" i="1" s="1"/>
  <c r="J81" i="1"/>
  <c r="J104" i="1" s="1"/>
  <c r="P83" i="1"/>
  <c r="P106" i="1" s="1"/>
  <c r="C73" i="1"/>
  <c r="C96" i="1" s="1"/>
  <c r="J73" i="1"/>
  <c r="J96" i="1" s="1"/>
  <c r="P69" i="1" l="1"/>
  <c r="P92" i="1" s="1"/>
</calcChain>
</file>

<file path=xl/sharedStrings.xml><?xml version="1.0" encoding="utf-8"?>
<sst xmlns="http://schemas.openxmlformats.org/spreadsheetml/2006/main" count="328" uniqueCount="88">
  <si>
    <t>K</t>
  </si>
  <si>
    <t>Total length</t>
  </si>
  <si>
    <t>L, mm</t>
  </si>
  <si>
    <t>FMK 90</t>
  </si>
  <si>
    <t>Width, mm</t>
  </si>
  <si>
    <t>FMK 110</t>
  </si>
  <si>
    <t>FMK 140</t>
  </si>
  <si>
    <t>AQUILO FMK</t>
  </si>
  <si>
    <r>
      <t>T</t>
    </r>
    <r>
      <rPr>
        <vertAlign val="subscript"/>
        <sz val="14"/>
        <color theme="1"/>
        <rFont val="Calibri"/>
        <family val="2"/>
        <scheme val="minor"/>
      </rPr>
      <t>flow</t>
    </r>
    <r>
      <rPr>
        <sz val="14"/>
        <color theme="1"/>
        <rFont val="Calibri"/>
        <family val="2"/>
        <scheme val="minor"/>
      </rPr>
      <t xml:space="preserve">  =</t>
    </r>
  </si>
  <si>
    <r>
      <t>T</t>
    </r>
    <r>
      <rPr>
        <vertAlign val="subscript"/>
        <sz val="14"/>
        <color theme="1"/>
        <rFont val="Calibri"/>
        <family val="2"/>
        <scheme val="minor"/>
      </rPr>
      <t>rtn</t>
    </r>
    <r>
      <rPr>
        <sz val="14"/>
        <color theme="1"/>
        <rFont val="Calibri"/>
        <family val="2"/>
        <scheme val="minor"/>
      </rPr>
      <t xml:space="preserve">    =</t>
    </r>
  </si>
  <si>
    <r>
      <t>T</t>
    </r>
    <r>
      <rPr>
        <vertAlign val="subscript"/>
        <sz val="14"/>
        <color theme="1"/>
        <rFont val="Calibri"/>
        <family val="2"/>
        <scheme val="minor"/>
      </rPr>
      <t>room</t>
    </r>
    <r>
      <rPr>
        <sz val="14"/>
        <color theme="1"/>
        <rFont val="Calibri"/>
        <family val="2"/>
        <scheme val="minor"/>
      </rPr>
      <t xml:space="preserve"> =</t>
    </r>
  </si>
  <si>
    <r>
      <t>ΔT</t>
    </r>
    <r>
      <rPr>
        <vertAlign val="subscript"/>
        <sz val="14"/>
        <color theme="1"/>
        <rFont val="Calibri"/>
        <family val="2"/>
      </rPr>
      <t>ln</t>
    </r>
  </si>
  <si>
    <t>*</t>
  </si>
  <si>
    <t>ΔT</t>
  </si>
  <si>
    <t>^</t>
  </si>
  <si>
    <t>FMK 90-180</t>
  </si>
  <si>
    <t>FMK 90-260</t>
  </si>
  <si>
    <t>FMK 90-290</t>
  </si>
  <si>
    <t>FMK 90-340</t>
  </si>
  <si>
    <t>FMK 90-420</t>
  </si>
  <si>
    <t>FMK 110-180</t>
  </si>
  <si>
    <t>FMK 110-260</t>
  </si>
  <si>
    <t>FMK 110-290</t>
  </si>
  <si>
    <t>FMK 110-340</t>
  </si>
  <si>
    <t>FMK 110-420</t>
  </si>
  <si>
    <t>FMK 140-180</t>
  </si>
  <si>
    <t>FMK 140-260</t>
  </si>
  <si>
    <t>FMK 140-290</t>
  </si>
  <si>
    <t>FMK 140-340</t>
  </si>
  <si>
    <t>FMK 140-420</t>
  </si>
  <si>
    <r>
      <t>L-L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</t>
    </r>
  </si>
  <si>
    <t>=D6/((D7-D8)/1,163</t>
  </si>
  <si>
    <t>Inner diam. =</t>
  </si>
  <si>
    <t>Re calculation:</t>
  </si>
  <si>
    <t>=D11*4/(D10^2*3,142)/3,6</t>
  </si>
  <si>
    <t>=-0,003268*D12^2-0,12113*D12+1002,23</t>
  </si>
  <si>
    <t>=-0,000001568*D12^3+0,0003846*D12^2-0,03584*D12+1,577</t>
  </si>
  <si>
    <t>=D13*D10/1000/(D15*0,000001)</t>
  </si>
  <si>
    <t>=0,0952*LN(D16)+0,1663</t>
  </si>
  <si>
    <t>- Water flow rate</t>
  </si>
  <si>
    <t>- Velocity of water</t>
  </si>
  <si>
    <t>- Density of water</t>
  </si>
  <si>
    <t>- Viscosity of water</t>
  </si>
  <si>
    <t>- Reynold’s number</t>
  </si>
  <si>
    <t>- Correction factor</t>
  </si>
  <si>
    <t>Re corrected heat outputs</t>
  </si>
  <si>
    <t>Output in Watts</t>
  </si>
  <si>
    <t>Number of parallel pipe loops =</t>
  </si>
  <si>
    <t>AQUILO F1T</t>
  </si>
  <si>
    <t>Reynold's numbers</t>
  </si>
  <si>
    <t>F1T 90</t>
  </si>
  <si>
    <t>F1T 140</t>
  </si>
  <si>
    <t>F1T 90-260</t>
  </si>
  <si>
    <t>F1T 90-290</t>
  </si>
  <si>
    <t>F1T 90-340</t>
  </si>
  <si>
    <t>F1T 140-260</t>
  </si>
  <si>
    <t>F1T 140-290</t>
  </si>
  <si>
    <t>F1T 140-340</t>
  </si>
  <si>
    <t>AQUILO F1P</t>
  </si>
  <si>
    <t>F1P 90</t>
  </si>
  <si>
    <t xml:space="preserve">   Width, mm</t>
  </si>
  <si>
    <t>F1P 90-180</t>
  </si>
  <si>
    <t>F1P 90-260</t>
  </si>
  <si>
    <t>AQUILO F2C</t>
  </si>
  <si>
    <t>F2C 110</t>
  </si>
  <si>
    <t>AQUILO F4C</t>
  </si>
  <si>
    <t>F4C 140</t>
  </si>
  <si>
    <t>low</t>
  </si>
  <si>
    <t>high</t>
  </si>
  <si>
    <r>
      <rPr>
        <vertAlign val="superscript"/>
        <sz val="14"/>
        <color theme="1"/>
        <rFont val="Calibri"/>
        <family val="2"/>
        <scheme val="minor"/>
      </rPr>
      <t>o</t>
    </r>
    <r>
      <rPr>
        <sz val="14"/>
        <color theme="1"/>
        <rFont val="Calibri"/>
        <family val="2"/>
        <scheme val="minor"/>
      </rPr>
      <t>C</t>
    </r>
  </si>
  <si>
    <t>Fan speed =</t>
  </si>
  <si>
    <t>Fan factor</t>
  </si>
  <si>
    <t>Fan f.</t>
  </si>
  <si>
    <t>FMK110-340:   11</t>
  </si>
  <si>
    <t>n=</t>
  </si>
  <si>
    <r>
      <t xml:space="preserve">F1T90.-290:    </t>
    </r>
    <r>
      <rPr>
        <sz val="11"/>
        <color rgb="FFFF0000"/>
        <rFont val="Calibri"/>
        <family val="2"/>
        <scheme val="minor"/>
      </rPr>
      <t xml:space="preserve"> 11</t>
    </r>
  </si>
  <si>
    <t>Example y=-6,0261*x^2+252,85*x+20,282</t>
  </si>
  <si>
    <t>FAIL</t>
  </si>
  <si>
    <r>
      <t>= Negative ΔT</t>
    </r>
    <r>
      <rPr>
        <vertAlign val="subscript"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 xml:space="preserve"> or too low water flow rate</t>
    </r>
  </si>
  <si>
    <t>Fan</t>
  </si>
  <si>
    <t>= Too low water flow rate or faulty fan speed</t>
  </si>
  <si>
    <r>
      <t>= Negative ΔT</t>
    </r>
    <r>
      <rPr>
        <vertAlign val="subscript"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>, too low water flow rate or faulty fan speed</t>
    </r>
  </si>
  <si>
    <t xml:space="preserve">021017 MII </t>
  </si>
  <si>
    <r>
      <t>Note! Negative ΔT</t>
    </r>
    <r>
      <rPr>
        <vertAlign val="subscript"/>
        <sz val="14"/>
        <color theme="1"/>
        <rFont val="Calibri"/>
        <family val="2"/>
        <scheme val="minor"/>
      </rPr>
      <t>ln</t>
    </r>
    <r>
      <rPr>
        <sz val="14"/>
        <color theme="1"/>
        <rFont val="Calibri"/>
        <family val="2"/>
        <scheme val="minor"/>
      </rPr>
      <t xml:space="preserve"> value = cooling mode</t>
    </r>
  </si>
  <si>
    <t xml:space="preserve">  *) Recommended fan setting </t>
  </si>
  <si>
    <t xml:space="preserve">      when dimensioning!</t>
  </si>
  <si>
    <t>middle *</t>
  </si>
  <si>
    <t xml:space="preserve">  *) Recommended fan setting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</si>
</sst>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vertAlign val="subscript"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4" fillId="0" borderId="1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/>
    <xf numFmtId="0" fontId="4" fillId="0" borderId="6" xfId="0" applyFont="1" applyBorder="1"/>
    <xf numFmtId="0" fontId="4" fillId="0" borderId="11" xfId="0" applyFont="1" applyBorder="1"/>
    <xf numFmtId="0" fontId="1" fillId="0" borderId="0" xfId="0" applyFont="1"/>
    <xf numFmtId="0" fontId="8" fillId="0" borderId="0" xfId="0" applyFont="1"/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quotePrefix="1"/>
    <xf numFmtId="1" fontId="4" fillId="0" borderId="2" xfId="0" applyNumberFormat="1" applyFont="1" applyBorder="1"/>
    <xf numFmtId="1" fontId="4" fillId="0" borderId="3" xfId="0" applyNumberFormat="1" applyFont="1" applyBorder="1"/>
    <xf numFmtId="1" fontId="4" fillId="0" borderId="4" xfId="0" applyNumberFormat="1" applyFont="1" applyBorder="1"/>
    <xf numFmtId="1" fontId="4" fillId="0" borderId="5" xfId="0" applyNumberFormat="1" applyFont="1" applyBorder="1"/>
    <xf numFmtId="1" fontId="4" fillId="0" borderId="0" xfId="0" applyNumberFormat="1" applyFont="1" applyBorder="1"/>
    <xf numFmtId="1" fontId="4" fillId="0" borderId="6" xfId="0" applyNumberFormat="1" applyFont="1" applyBorder="1"/>
    <xf numFmtId="1" fontId="4" fillId="0" borderId="7" xfId="0" applyNumberFormat="1" applyFont="1" applyBorder="1"/>
    <xf numFmtId="1" fontId="4" fillId="0" borderId="8" xfId="0" applyNumberFormat="1" applyFont="1" applyBorder="1"/>
    <xf numFmtId="1" fontId="4" fillId="0" borderId="9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/>
    <xf numFmtId="0" fontId="0" fillId="0" borderId="0" xfId="0" applyBorder="1" applyAlignment="1">
      <alignment horizontal="right"/>
    </xf>
    <xf numFmtId="0" fontId="9" fillId="0" borderId="0" xfId="0" applyFont="1" applyBorder="1"/>
    <xf numFmtId="0" fontId="4" fillId="0" borderId="5" xfId="0" applyFont="1" applyBorder="1"/>
    <xf numFmtId="0" fontId="0" fillId="0" borderId="4" xfId="0" applyBorder="1"/>
    <xf numFmtId="0" fontId="4" fillId="0" borderId="2" xfId="0" applyFont="1" applyBorder="1"/>
    <xf numFmtId="0" fontId="0" fillId="0" borderId="5" xfId="0" applyBorder="1"/>
    <xf numFmtId="0" fontId="4" fillId="0" borderId="8" xfId="0" applyFont="1" applyBorder="1"/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quotePrefix="1" applyBorder="1"/>
    <xf numFmtId="1" fontId="4" fillId="0" borderId="1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/>
    <xf numFmtId="1" fontId="4" fillId="0" borderId="12" xfId="0" applyNumberFormat="1" applyFont="1" applyBorder="1"/>
    <xf numFmtId="1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/>
    <xf numFmtId="0" fontId="8" fillId="0" borderId="0" xfId="0" applyFont="1" applyProtection="1"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Protection="1">
      <protection locked="0"/>
    </xf>
    <xf numFmtId="0" fontId="11" fillId="0" borderId="0" xfId="0" applyFont="1"/>
    <xf numFmtId="1" fontId="4" fillId="0" borderId="0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" fontId="0" fillId="0" borderId="0" xfId="0" applyNumberFormat="1"/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0" xfId="0" quotePrefix="1" applyFont="1"/>
    <xf numFmtId="0" fontId="14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</xdr:row>
          <xdr:rowOff>38100</xdr:rowOff>
        </xdr:from>
        <xdr:to>
          <xdr:col>19</xdr:col>
          <xdr:colOff>495300</xdr:colOff>
          <xdr:row>5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</xdr:row>
          <xdr:rowOff>114300</xdr:rowOff>
        </xdr:from>
        <xdr:to>
          <xdr:col>12</xdr:col>
          <xdr:colOff>523875</xdr:colOff>
          <xdr:row>4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</xdr:row>
          <xdr:rowOff>114300</xdr:rowOff>
        </xdr:from>
        <xdr:to>
          <xdr:col>13</xdr:col>
          <xdr:colOff>476250</xdr:colOff>
          <xdr:row>4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</xdr:row>
          <xdr:rowOff>114300</xdr:rowOff>
        </xdr:from>
        <xdr:to>
          <xdr:col>13</xdr:col>
          <xdr:colOff>514350</xdr:colOff>
          <xdr:row>4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</xdr:row>
          <xdr:rowOff>114300</xdr:rowOff>
        </xdr:from>
        <xdr:to>
          <xdr:col>13</xdr:col>
          <xdr:colOff>495300</xdr:colOff>
          <xdr:row>4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8"/>
  <sheetViews>
    <sheetView zoomScale="90" zoomScaleNormal="90" workbookViewId="0">
      <selection activeCell="I4" sqref="I4"/>
    </sheetView>
  </sheetViews>
  <sheetFormatPr defaultRowHeight="15" x14ac:dyDescent="0.25"/>
  <cols>
    <col min="1" max="1" width="13.5703125" customWidth="1"/>
    <col min="2" max="2" width="9.7109375" bestFit="1" customWidth="1"/>
    <col min="5" max="5" width="9.7109375" bestFit="1" customWidth="1"/>
    <col min="7" max="7" width="4.42578125" customWidth="1"/>
    <col min="8" max="8" width="13.5703125" customWidth="1"/>
    <col min="13" max="13" width="9.7109375" bestFit="1" customWidth="1"/>
    <col min="14" max="14" width="4.140625" customWidth="1"/>
    <col min="15" max="15" width="13.5703125" customWidth="1"/>
    <col min="16" max="16" width="9" bestFit="1" customWidth="1"/>
    <col min="17" max="20" width="9.7109375" bestFit="1" customWidth="1"/>
  </cols>
  <sheetData>
    <row r="1" spans="1:20" ht="21" x14ac:dyDescent="0.4">
      <c r="A1" s="71" t="s">
        <v>7</v>
      </c>
      <c r="T1" s="2" t="s">
        <v>82</v>
      </c>
    </row>
    <row r="2" spans="1:20" ht="14.45" x14ac:dyDescent="0.3">
      <c r="A2" t="s">
        <v>45</v>
      </c>
    </row>
    <row r="3" spans="1:20" ht="21" x14ac:dyDescent="0.45">
      <c r="D3" s="5" t="s">
        <v>8</v>
      </c>
      <c r="E3" s="72">
        <v>75</v>
      </c>
      <c r="F3" s="8" t="s">
        <v>69</v>
      </c>
      <c r="G3" s="73"/>
    </row>
    <row r="4" spans="1:20" ht="21" x14ac:dyDescent="0.45">
      <c r="D4" s="5" t="s">
        <v>9</v>
      </c>
      <c r="E4" s="72">
        <v>65</v>
      </c>
      <c r="F4" s="8" t="s">
        <v>69</v>
      </c>
    </row>
    <row r="5" spans="1:20" ht="21" x14ac:dyDescent="0.45">
      <c r="D5" s="5" t="s">
        <v>10</v>
      </c>
      <c r="E5" s="72">
        <v>20</v>
      </c>
      <c r="F5" s="8" t="s">
        <v>69</v>
      </c>
    </row>
    <row r="7" spans="1:20" ht="21" x14ac:dyDescent="0.35">
      <c r="D7" s="6" t="s">
        <v>11</v>
      </c>
      <c r="E7" s="69">
        <f>(E3-E4)/LN((E3-E5)/(E4-E5))</f>
        <v>49.83288654563971</v>
      </c>
      <c r="F7" s="8" t="s">
        <v>0</v>
      </c>
      <c r="G7" s="6"/>
      <c r="H7" s="7"/>
      <c r="I7" s="97" t="s">
        <v>77</v>
      </c>
      <c r="J7" s="98" t="s">
        <v>78</v>
      </c>
    </row>
    <row r="8" spans="1:20" ht="14.45" hidden="1" x14ac:dyDescent="0.3">
      <c r="A8" t="s">
        <v>46</v>
      </c>
      <c r="E8" s="4"/>
      <c r="H8" t="s">
        <v>46</v>
      </c>
      <c r="O8" t="s">
        <v>46</v>
      </c>
    </row>
    <row r="9" spans="1:20" ht="18" hidden="1" x14ac:dyDescent="0.35">
      <c r="A9" s="27" t="s">
        <v>3</v>
      </c>
      <c r="B9" s="8"/>
      <c r="C9" s="8"/>
      <c r="D9" s="8"/>
      <c r="E9" s="8"/>
      <c r="F9" s="8"/>
      <c r="G9" s="8"/>
      <c r="H9" s="27" t="s">
        <v>5</v>
      </c>
      <c r="I9" s="8"/>
      <c r="J9" s="8"/>
      <c r="K9" s="8"/>
      <c r="L9" s="8"/>
      <c r="M9" s="8"/>
      <c r="N9" s="8"/>
      <c r="O9" s="27" t="s">
        <v>6</v>
      </c>
      <c r="P9" s="8"/>
      <c r="Q9" s="8"/>
      <c r="R9" s="8"/>
      <c r="S9" s="8"/>
      <c r="T9" s="8"/>
    </row>
    <row r="10" spans="1:20" ht="18" hidden="1" x14ac:dyDescent="0.35">
      <c r="A10" s="9" t="s">
        <v>1</v>
      </c>
      <c r="B10" s="9"/>
      <c r="C10" s="10"/>
      <c r="D10" s="10" t="s">
        <v>4</v>
      </c>
      <c r="E10" s="10"/>
      <c r="F10" s="11"/>
      <c r="G10" s="12"/>
      <c r="H10" s="25" t="s">
        <v>1</v>
      </c>
      <c r="I10" s="14"/>
      <c r="J10" s="14"/>
      <c r="K10" s="10" t="s">
        <v>4</v>
      </c>
      <c r="L10" s="14"/>
      <c r="M10" s="15"/>
      <c r="N10" s="8"/>
      <c r="O10" s="25" t="s">
        <v>1</v>
      </c>
      <c r="P10" s="14"/>
      <c r="Q10" s="14"/>
      <c r="R10" s="10" t="s">
        <v>4</v>
      </c>
      <c r="S10" s="14"/>
      <c r="T10" s="15"/>
    </row>
    <row r="11" spans="1:20" ht="18" hidden="1" x14ac:dyDescent="0.35">
      <c r="A11" s="24" t="s">
        <v>2</v>
      </c>
      <c r="B11" s="24">
        <v>180</v>
      </c>
      <c r="C11" s="39">
        <v>260</v>
      </c>
      <c r="D11" s="39">
        <v>290</v>
      </c>
      <c r="E11" s="39">
        <v>340</v>
      </c>
      <c r="F11" s="40">
        <v>420</v>
      </c>
      <c r="G11" s="12"/>
      <c r="H11" s="26" t="s">
        <v>2</v>
      </c>
      <c r="I11" s="17">
        <v>180</v>
      </c>
      <c r="J11" s="17">
        <v>260</v>
      </c>
      <c r="K11" s="17">
        <v>290</v>
      </c>
      <c r="L11" s="17">
        <v>340</v>
      </c>
      <c r="M11" s="18">
        <v>420</v>
      </c>
      <c r="N11" s="8"/>
      <c r="O11" s="26" t="s">
        <v>2</v>
      </c>
      <c r="P11" s="17">
        <v>180</v>
      </c>
      <c r="Q11" s="17">
        <v>260</v>
      </c>
      <c r="R11" s="17">
        <v>290</v>
      </c>
      <c r="S11" s="17">
        <v>340</v>
      </c>
      <c r="T11" s="18">
        <v>420</v>
      </c>
    </row>
    <row r="12" spans="1:20" ht="18" hidden="1" x14ac:dyDescent="0.35">
      <c r="A12" s="13">
        <v>1000</v>
      </c>
      <c r="B12" s="80">
        <f>(-5.8299*($A12/1000-0.24)^2+252.22*($A12/1000-0.24)+20.638)*(ABS(($E$3-$E$4)/LN(($E$3-$E$5)/($E$4-$E$5)))/49.833)^$F$30</f>
        <v>208.95717831142147</v>
      </c>
      <c r="C12" s="81">
        <f>(-6.593*($A12/1000-0.24)^2+317.28*($A12/1000-0.24)+29.653-0.5)*(ABS(($E$3-$E$4)/LN(($E$3-$E$5)/($E$4-$E$5)))/49.833)^$F$32</f>
        <v>266.4768303798628</v>
      </c>
      <c r="D12" s="81">
        <f>(-6.9021*($A12/1000-0.24)^2+325.76*($A12/1000-0.24)+29.658-0.5)*(ABS(($E$3-$E$4)/LN(($E$3-$E$5)/($E$4-$E$5)))/49.833)^$F$35</f>
        <v>272.74807514320622</v>
      </c>
      <c r="E12" s="81">
        <f>(-8.6196*($A12/1000-0.24)^2+410.68*($A12/1000-0.24)+35.874-0.5)*(ABS(($E$3-$E$4)/LN(($E$3-$E$5)/($E$4-$E$5)))/49.833)^$F$38</f>
        <v>342.5110263926133</v>
      </c>
      <c r="F12" s="82">
        <f>(-11.075*($A12/1000-0.24)^2+508.82*($A12/1000-0.24)+41.88-1)*(ABS(($E$3-$E$4)/LN(($E$3-$E$5)/($E$4-$E$5)))/49.833)^$F$41</f>
        <v>421.18493282632875</v>
      </c>
      <c r="G12" s="12"/>
      <c r="H12" s="13">
        <v>1000</v>
      </c>
      <c r="I12" s="80">
        <f>(-5.9426*($H12/1000-0.24)^2+283.15*($H12/1000-0.24)+26.226-0.5)*(ABS(($E$3-$E$4)/LN(($E$3-$E$5)/($E$4-$E$5)))/49.833)^$M$29</f>
        <v>237.48679495519394</v>
      </c>
      <c r="J12" s="81">
        <f>(-7.5563*($H12/1000-0.24)^2+368.47*($H12/1000-0.24)+33.94-1)*(ABS(($E$3-$E$4)/LN(($E$3-$E$5)/($E$4-$E$5)))/49.833)^$M$32</f>
        <v>308.61169204816491</v>
      </c>
      <c r="K12" s="81">
        <f>(-8.259*($H12/1000-0.24)^2+405.89*($H12/1000-0.24)+36.598-1)*(ABS(($E$3-$E$4)/LN(($E$3-$E$5)/($E$4-$E$5)))/49.833)^$M$35</f>
        <v>339.30291748734822</v>
      </c>
      <c r="L12" s="81">
        <f>(-9.0158*($H12/1000-0.24)^2+463.42*($H12/1000-0.24)+40.255-1)*(ABS(($E$3-$E$4)/LN(($E$3-$E$5)/($E$4-$E$5)))/49.833)^$M$38</f>
        <v>386.24543595128318</v>
      </c>
      <c r="M12" s="82">
        <f>(-11.631*($H12/1000-0.24)^2+574.87*($H12/1000-0.24)+48.66-1)*(ABS(($E$3-$E$4)/LN(($E$3-$E$5)/($E$4-$E$5)))/49.833)^$M$41</f>
        <v>477.84160492022255</v>
      </c>
      <c r="N12" s="8"/>
      <c r="O12" s="13">
        <v>1000</v>
      </c>
      <c r="P12" s="80">
        <f>(-6.5176*($O12/1000-0.24)^2+308.96*($O12/1000-0.24)+28.516-0.5)*(ABS(($E$3-$E$4)/LN(($E$3-$E$5)/($E$4-$E$5)))/49.833)^$T$29</f>
        <v>259.06020397608592</v>
      </c>
      <c r="Q12" s="81">
        <f>(-9.4899*($O12/1000-0.24)^2+447.68*($O12/1000-0.24)+38.334-0.5)*(ABS(($E$3-$E$4)/LN(($E$3-$E$5)/($E$4-$E$5)))/49.833)^$T$32</f>
        <v>372.58824448440208</v>
      </c>
      <c r="R12" s="81">
        <f>(-9.884*($O12/1000-0.24)^2+486.55*($O12/1000-0.24)+43.325-1.5)*(ABS(($E$3-$E$4)/LN(($E$3-$E$5)/($E$4-$E$5)))/49.833)^$T$35</f>
        <v>405.89270694298546</v>
      </c>
      <c r="S12" s="81">
        <f>(-11.943*($O12/1000-0.24)^2+602.88*($O12/1000-0.24)+52.513-1)*(ABS(($E$3-$E$4)/LN(($E$3-$E$5)/($E$4-$E$5)))/49.833)^$T$38</f>
        <v>502.80191165205804</v>
      </c>
      <c r="T12" s="82">
        <f>(-13.832*($O12/1000-0.24)^2+699.36*($O12/1000-0.24)+59.085-1)*(ABS(($E$3-$E$4)/LN(($E$3-$E$5)/($E$4-$E$5)))/49.833)^$T$41</f>
        <v>581.6073758478675</v>
      </c>
    </row>
    <row r="13" spans="1:20" ht="18" hidden="1" x14ac:dyDescent="0.35">
      <c r="A13" s="21">
        <v>1100</v>
      </c>
      <c r="B13" s="83">
        <f>(-5.8299*($A13/1000-0.24)^2+252.22*($A13/1000-0.24)+20.638+1)*(ABS(($E$3-$E$4)/LN(($E$3-$E$5)/($E$4-$E$5)))/49.833)^$F$30</f>
        <v>234.23465328652762</v>
      </c>
      <c r="C13" s="84">
        <f>(-6.593*($A13/1000-0.24)^2+317.28*($A13/1000-0.24)+29.653)*(ABS(($E$3-$E$4)/LN(($E$3-$E$5)/($E$4-$E$5)))/49.833)^$F$32</f>
        <v>297.63666465736873</v>
      </c>
      <c r="D13" s="84">
        <f>(-6.9021*($A13/1000-0.24)^2+325.76*($A13/1000-0.24)+29.658)*(ABS(($E$3-$E$4)/LN(($E$3-$E$5)/($E$4-$E$5)))/49.833)^$F$35</f>
        <v>304.70583278348835</v>
      </c>
      <c r="E13" s="84">
        <f>(-8.6196*($A13/1000-0.24)^2+410.68*($A13/1000-0.24)+35.874)*(ABS(($E$3-$E$4)/LN(($E$3-$E$5)/($E$4-$E$5)))/49.833)^$F$38</f>
        <v>382.68252304117459</v>
      </c>
      <c r="F13" s="85">
        <f>(-11.075*($A13/1000-0.24)^2+508.82*($A13/1000-0.24)+41.88)*(ABS(($E$3-$E$4)/LN(($E$3-$E$5)/($E$4-$E$5)))/49.833)^$F$41</f>
        <v>471.27262261922812</v>
      </c>
      <c r="G13" s="12"/>
      <c r="H13" s="21">
        <v>1100</v>
      </c>
      <c r="I13" s="83">
        <f>(-5.9426*($H13/1000-0.24)^2+283.15*($H13/1000-0.24)+26.226)*(ABS(($E$3-$E$4)/LN(($E$3-$E$5)/($E$4-$E$5)))/49.833)^$M$29</f>
        <v>265.33900470704418</v>
      </c>
      <c r="J13" s="84">
        <f>(-7.5563*($H13/1000-0.24)^2+368.47*($H13/1000-0.24)+33.94-0.5)*(ABS(($E$3-$E$4)/LN(($E$3-$E$5)/($E$4-$E$5)))/49.833)^$M$32</f>
        <v>344.73445567805953</v>
      </c>
      <c r="K13" s="84">
        <f>(-8.259*($H13/1000-0.24)^2+405.89*($H13/1000-0.24)+36.598)*(ABS(($E$3-$E$4)/LN(($E$3-$E$5)/($E$4-$E$5)))/49.833)^$M$35</f>
        <v>379.55383088095493</v>
      </c>
      <c r="L13" s="84">
        <f>(-9.0158*($H13/1000-0.24)^2+463.42*($H13/1000-0.24)+40.255-0.5)*(ABS(($E$3-$E$4)/LN(($E$3-$E$5)/($E$4-$E$5)))/49.833)^$M$38</f>
        <v>431.62673089811216</v>
      </c>
      <c r="M13" s="85">
        <f>(-11.631*($H13/1000-0.24)^2+574.87*($H13/1000-0.24)+48.66)*(ABS(($E$3-$E$4)/LN(($E$3-$E$5)/($E$4-$E$5)))/49.833)^$M$41</f>
        <v>534.44420174611309</v>
      </c>
      <c r="N13" s="8"/>
      <c r="O13" s="21">
        <v>1100</v>
      </c>
      <c r="P13" s="83">
        <f>(-6.5176*($O13/1000-0.24)^2+308.96*($O13/1000-0.24)+28.516)*(ABS(($E$3-$E$4)/LN(($E$3-$E$5)/($E$4-$E$5)))/49.833)^$T$29</f>
        <v>289.40025553903615</v>
      </c>
      <c r="Q13" s="84">
        <f>(-9.4899*($O13/1000-0.24)^2+447.68*($O13/1000-0.24)+38.334)*(ABS(($E$3-$E$4)/LN(($E$3-$E$5)/($E$4-$E$5)))/49.833)^$T$32</f>
        <v>416.31874109971778</v>
      </c>
      <c r="R13" s="84">
        <f>(-9.884*($O13/1000-0.24)^2+486.55*($O13/1000-0.24)+43.325-1)*(ABS(($E$3-$E$4)/LN(($E$3-$E$5)/($E$4-$E$5)))/49.833)^$T$35</f>
        <v>453.44634726335937</v>
      </c>
      <c r="S13" s="84">
        <f>(-11.943*($O13/1000-0.24)^2+602.88*($O13/1000-0.24)+52.513)*(ABS(($E$3-$E$4)/LN(($E$3-$E$5)/($E$4-$E$5)))/49.833)^$T$38</f>
        <v>562.15495541754763</v>
      </c>
      <c r="T13" s="85">
        <f>(-13.832*($O13/1000-0.24)^2+699.36*($O13/1000-0.24)+59.085)*(ABS(($E$3-$E$4)/LN(($E$3-$E$5)/($E$4-$E$5)))/49.833)^$T$41</f>
        <v>650.30237204649461</v>
      </c>
    </row>
    <row r="14" spans="1:20" ht="18" hidden="1" x14ac:dyDescent="0.35">
      <c r="A14" s="21">
        <v>1200</v>
      </c>
      <c r="B14" s="83">
        <f>(-5.8299*($A14/1000-0.24)^2+252.22*($A14/1000-0.24)+20.638+1)*(ABS(($E$3-$E$4)/LN(($E$3-$E$5)/($E$4-$E$5)))/49.833)^$F$30</f>
        <v>258.39553384962107</v>
      </c>
      <c r="C14" s="84">
        <f>(-6.593*($A14/1000-0.24)^2+317.28*($A14/1000-0.24)+29.653)*(ABS(($E$3-$E$4)/LN(($E$3-$E$5)/($E$4-$E$5)))/49.833)^$F$32</f>
        <v>328.16464095704367</v>
      </c>
      <c r="D14" s="84">
        <f>(-6.9021*($A14/1000-0.24)^2+325.76*($A14/1000-0.24)+29.658)*(ABS(($E$3-$E$4)/LN(($E$3-$E$5)/($E$4-$E$5)))/49.833)^$F$35</f>
        <v>336.02555046339972</v>
      </c>
      <c r="E14" s="84">
        <f>(-8.6196*($A14/1000-0.24)^2+410.68*($A14/1000-0.24)+35.874+1)*(ABS(($E$3-$E$4)/LN(($E$3-$E$5)/($E$4-$E$5)))/49.833)^$F$38</f>
        <v>423.18162664463392</v>
      </c>
      <c r="F14" s="85">
        <f>(-11.075*($A14/1000-0.24)^2+508.82*($A14/1000-0.24)+41.88+1)*(ABS(($E$3-$E$4)/LN(($E$3-$E$5)/($E$4-$E$5)))/49.833)^$F$41</f>
        <v>521.13881312060016</v>
      </c>
      <c r="G14" s="12"/>
      <c r="H14" s="21">
        <v>1200</v>
      </c>
      <c r="I14" s="83">
        <f>(-5.9426*($H14/1000-0.24)^2+283.15*($H14/1000-0.24)+26.226+0.5)*(ABS(($E$3-$E$4)/LN(($E$3-$E$5)/($E$4-$E$5)))/49.833)^$M$29</f>
        <v>293.07236283888284</v>
      </c>
      <c r="J14" s="84">
        <f>(-7.5563*($H14/1000-0.24)^2+368.47*($H14/1000-0.24)+33.94)*(ABS(($E$3-$E$4)/LN(($E$3-$E$5)/($E$4-$E$5)))/49.833)^$M$32</f>
        <v>380.70609379229728</v>
      </c>
      <c r="K14" s="84">
        <f>(-8.259*($H14/1000-0.24)^2+405.89*($H14/1000-0.24)+36.598+0.5)*(ABS(($E$3-$E$4)/LN(($E$3-$E$5)/($E$4-$E$5)))/49.833)^$M$35</f>
        <v>419.13956639988294</v>
      </c>
      <c r="L14" s="84">
        <f>(-9.0158*($H14/1000-0.24)^2+463.42*($H14/1000-0.24)+40.255+0.5)*(ABS(($E$3-$E$4)/LN(($E$3-$E$5)/($E$4-$E$5)))/49.833)^$M$38</f>
        <v>477.32770882031394</v>
      </c>
      <c r="M14" s="85">
        <f>(-11.631*($H14/1000-0.24)^2+574.87*($H14/1000-0.24)+48.66+0.5)*(ABS(($E$3-$E$4)/LN(($E$3-$E$5)/($E$4-$E$5)))/49.833)^$M$41</f>
        <v>590.31418091697299</v>
      </c>
      <c r="N14" s="8"/>
      <c r="O14" s="21">
        <v>1200</v>
      </c>
      <c r="P14" s="83">
        <f>(-6.5176*($O14/1000-0.24)^2+308.96*($O14/1000-0.24)+28.516+0.5)*(ABS(($E$3-$E$4)/LN(($E$3-$E$5)/($E$4-$E$5)))/49.833)^$T$29</f>
        <v>319.609955519751</v>
      </c>
      <c r="Q14" s="84">
        <f>(-9.4899*($O14/1000-0.24)^2+447.68*($O14/1000-0.24)+38.334)*(ABS(($E$3-$E$4)/LN(($E$3-$E$5)/($E$4-$E$5)))/49.833)^$T$32</f>
        <v>459.35944191681324</v>
      </c>
      <c r="R14" s="84">
        <f>(-9.884*($O14/1000-0.24)^2+486.55*($O14/1000-0.24)+43.325)*(ABS(($E$3-$E$4)/LN(($E$3-$E$5)/($E$4-$E$5)))/49.833)^$T$35</f>
        <v>501.30230661944034</v>
      </c>
      <c r="S14" s="84">
        <f>(-11.943*($O14/1000-0.24)^2+602.88*($O14/1000-0.24)+52.513+0.5)*(ABS(($E$3-$E$4)/LN(($E$3-$E$5)/($E$4-$E$5)))/49.833)^$T$38</f>
        <v>620.76914155117549</v>
      </c>
      <c r="T14" s="85">
        <f>(-13.832*($O14/1000-0.24)^2+699.36*($O14/1000-0.24)+59.085+1)*(ABS(($E$3-$E$4)/LN(($E$3-$E$5)/($E$4-$E$5)))/49.833)^$T$41</f>
        <v>718.7207291302758</v>
      </c>
    </row>
    <row r="15" spans="1:20" ht="18" hidden="1" x14ac:dyDescent="0.35">
      <c r="A15" s="19">
        <v>1300</v>
      </c>
      <c r="B15" s="86">
        <f>(-5.8299*($A15/1000-0.24)^2+252.22*($A15/1000-0.24)+20.638+1.5)*(ABS(($E$3-$E$4)/LN(($E$3-$E$5)/($E$4-$E$5)))/49.833)^$F$30</f>
        <v>282.93981518072104</v>
      </c>
      <c r="C15" s="87">
        <f>(-6.593*($A15/1000-0.24)^2+317.28*($A15/1000-0.24)+29.653)*(ABS(($E$3-$E$4)/LN(($E$3-$E$5)/($E$4-$E$5)))/49.833)^$F$32</f>
        <v>358.56075767871596</v>
      </c>
      <c r="D15" s="87">
        <f>(-6.9021*($A15/1000-0.24)^2+325.76*($A15/1000-0.24)+29.658+1)*(ABS(($E$3-$E$4)/LN(($E$3-$E$5)/($E$4-$E$5)))/49.833)^$F$35</f>
        <v>368.20722338788937</v>
      </c>
      <c r="E15" s="87">
        <f>(-8.6196*($A15/1000-0.24)^2+410.68*($A15/1000-0.24)+35.874+1)*(ABS(($E$3-$E$4)/LN(($E$3-$E$5)/($E$4-$E$5)))/49.833)^$F$38</f>
        <v>462.50834198813931</v>
      </c>
      <c r="F15" s="88">
        <f>(-11.075*($A15/1000-0.24)^2+508.82*($A15/1000-0.24)+41.88+1)*(ABS(($E$3-$E$4)/LN(($E$3-$E$5)/($E$4-$E$5)))/49.833)^$F$41</f>
        <v>569.78350752896699</v>
      </c>
      <c r="G15" s="12"/>
      <c r="H15" s="19">
        <v>1300</v>
      </c>
      <c r="I15" s="86">
        <f>(-5.9426*($H15/1000-0.24)^2+283.15*($H15/1000-0.24)+26.226+1.5)*(ABS(($E$3-$E$4)/LN(($E$3-$E$5)/($E$4-$E$5)))/49.833)^$M$29</f>
        <v>321.18686775213189</v>
      </c>
      <c r="J15" s="87">
        <f>(-7.5563*($H15/1000-0.24)^2+368.47*($H15/1000-0.24)+33.94)*(ABS(($E$3-$E$4)/LN(($E$3-$E$5)/($E$4-$E$5)))/49.833)^$M$32</f>
        <v>416.02660799332693</v>
      </c>
      <c r="K15" s="87">
        <f>(-8.259*($H15/1000-0.24)^2+405.89*($H15/1000-0.24)+36.598+1)*(ABS(($E$3-$E$4)/LN(($E$3-$E$5)/($E$4-$E$5)))/49.833)^$M$35</f>
        <v>458.56012244657887</v>
      </c>
      <c r="L15" s="87">
        <f>(-9.0158*($H15/1000-0.24)^2+463.42*($H15/1000-0.24)+40.255+0.5)*(ABS(($E$3-$E$4)/LN(($E$3-$E$5)/($E$4-$E$5)))/49.833)^$M$38</f>
        <v>521.84837452557565</v>
      </c>
      <c r="M15" s="88">
        <f>(-11.631*($H15/1000-0.24)^2+574.87*($H15/1000-0.24)+48.66+1)*(ABS(($E$3-$E$4)/LN(($E$3-$E$5)/($E$4-$E$5)))/49.833)^$M$41</f>
        <v>645.95154083240277</v>
      </c>
      <c r="N15" s="8"/>
      <c r="O15" s="19">
        <v>1300</v>
      </c>
      <c r="P15" s="86">
        <f>(-6.5176*($O15/1000-0.24)^2+308.96*($O15/1000-0.24)+28.516)*(ABS(($E$3-$E$4)/LN(($E$3-$E$5)/($E$4-$E$5)))/49.833)^$T$29</f>
        <v>348.68930712312755</v>
      </c>
      <c r="Q15" s="87">
        <f>(-9.4899*($O15/1000-0.24)^2+447.68*($O15/1000-0.24)+38.334+1)*(ABS(($E$3-$E$4)/LN(($E$3-$E$5)/($E$4-$E$5)))/49.833)^$T$32</f>
        <v>503.210342147809</v>
      </c>
      <c r="R15" s="87">
        <f>(-9.884*($O15/1000-0.24)^2+486.55*($O15/1000-0.24)+43.325)*(ABS(($E$3-$E$4)/LN(($E$3-$E$5)/($E$4-$E$5)))/49.833)^$T$35</f>
        <v>547.96058979569329</v>
      </c>
      <c r="S15" s="87">
        <f>(-11.943*($O15/1000-0.24)^2+602.88*($O15/1000-0.24)+52.513+1)*(ABS(($E$3-$E$4)/LN(($E$3-$E$5)/($E$4-$E$5)))/49.833)^$T$38</f>
        <v>679.14446845037958</v>
      </c>
      <c r="T15" s="88">
        <f>(-13.832*($O15/1000-0.24)^2+699.36*($O15/1000-0.24)+59.085+2)*(ABS(($E$3-$E$4)/LN(($E$3-$E$5)/($E$4-$E$5)))/49.833)^$T$41</f>
        <v>786.86244709921141</v>
      </c>
    </row>
    <row r="16" spans="1:20" ht="18" hidden="1" x14ac:dyDescent="0.35">
      <c r="A16" s="21">
        <v>1400</v>
      </c>
      <c r="B16" s="80">
        <f>(-5.8299*($A16/1000-0.24)^2+252.22*($A16/1000-0.24)+20.638+1)*(ABS(($E$3-$E$4)/LN(($E$3-$E$5)/($E$4-$E$5)))/49.833)^$F$30</f>
        <v>306.36750209980841</v>
      </c>
      <c r="C16" s="81">
        <f>(-6.593*($A16/1000-0.24)^2+317.28*($A16/1000-0.24)+29.653+1)*(ABS(($E$3-$E$4)/LN(($E$3-$E$5)/($E$4-$E$5)))/49.833)^$F$32</f>
        <v>389.82501162204198</v>
      </c>
      <c r="D16" s="81">
        <f>(-6.9021*($A16/1000-0.24)^2+325.76*($A16/1000-0.24)+29.658+0.5)*(ABS(($E$3-$E$4)/LN(($E$3-$E$5)/($E$4-$E$5)))/49.833)^$F$35</f>
        <v>398.75085954870923</v>
      </c>
      <c r="E16" s="81">
        <f>(-8.6196*($A16/1000-0.24)^2+410.68*($A16/1000-0.24)+35.874+1)*(ABS(($E$3-$E$4)/LN(($E$3-$E$5)/($E$4-$E$5)))/49.833)^$F$38</f>
        <v>501.66266588159209</v>
      </c>
      <c r="F16" s="82">
        <f>(-11.075*($A16/1000-0.24)^2+508.82*($A16/1000-0.24)+41.88+1.5)*(ABS(($E$3-$E$4)/LN(($E$3-$E$5)/($E$4-$E$5)))/49.833)^$F$41</f>
        <v>618.70670104654539</v>
      </c>
      <c r="G16" s="20"/>
      <c r="H16" s="21">
        <v>1400</v>
      </c>
      <c r="I16" s="80">
        <f>(-5.9426*($H16/1000-0.24)^2+283.15*($H16/1000-0.24)+26.226+1)*(ABS(($E$3-$E$4)/LN(($E$3-$E$5)/($E$4-$E$5)))/49.833)^$M$29</f>
        <v>347.68252584110348</v>
      </c>
      <c r="J16" s="81">
        <f>(-7.5563*($H16/1000-0.24)^2+368.47*($H16/1000-0.24)+33.94+0.5)*(ABS(($E$3-$E$4)/LN(($E$3-$E$5)/($E$4-$E$5)))/49.833)^$M$32</f>
        <v>451.69599507625128</v>
      </c>
      <c r="K16" s="81">
        <f>(-8.259*($H16/1000-0.24)^2+405.89*($H16/1000-0.24)+36.598+1)*(ABS(($E$3-$E$4)/LN(($E$3-$E$5)/($E$4-$E$5)))/49.833)^$M$35</f>
        <v>497.3155006185961</v>
      </c>
      <c r="L16" s="81">
        <f>(-9.0158*($H16/1000-0.24)^2+463.42*($H16/1000-0.24)+40.255+1.5)*(ABS(($E$3-$E$4)/LN(($E$3-$E$5)/($E$4-$E$5)))/49.833)^$M$38</f>
        <v>567.18872160364799</v>
      </c>
      <c r="M16" s="82">
        <f>(-11.631*($H16/1000-0.24)^2+574.87*($H16/1000-0.24)+48.66+1.5)*(ABS(($E$3-$E$4)/LN(($E$3-$E$5)/($E$4-$E$5)))/49.833)^$M$41</f>
        <v>701.35628149240233</v>
      </c>
      <c r="N16" s="8"/>
      <c r="O16" s="21">
        <v>1400</v>
      </c>
      <c r="P16" s="80">
        <f>(-6.5176*($O16/1000-0.24)^2+308.96*($O16/1000-0.24)+28.516)*(ABS(($E$3-$E$4)/LN(($E$3-$E$5)/($E$4-$E$5)))/49.833)^$T$29</f>
        <v>378.13830554182033</v>
      </c>
      <c r="Q16" s="81">
        <f>(-9.4899*($O16/1000-0.24)^2+447.68*($O16/1000-0.24)+38.334+1)*(ABS(($E$3-$E$4)/LN(($E$3-$E$5)/($E$4-$E$5)))/49.833)^$T$32</f>
        <v>545.8714481765445</v>
      </c>
      <c r="R16" s="81">
        <f>(-9.884*($O16/1000-0.24)^2+486.55*($O16/1000-0.24)+43.325+1)*(ABS(($E$3-$E$4)/LN(($E$3-$E$5)/($E$4-$E$5)))/49.833)^$T$35</f>
        <v>595.42119041283149</v>
      </c>
      <c r="S16" s="81">
        <f>(-11.943*($O16/1000-0.24)^2+602.88*($O16/1000-0.24)+52.513+1)*(ABS(($E$3-$E$4)/LN(($E$3-$E$5)/($E$4-$E$5)))/49.833)^$T$38</f>
        <v>736.78093771772171</v>
      </c>
      <c r="T16" s="82">
        <f>(-13.832*($O16/1000-0.24)^2+699.36*($O16/1000-0.24)+59.085+1.5)*(ABS(($E$3-$E$4)/LN(($E$3-$E$5)/($E$4-$E$5)))/49.833)^$T$41</f>
        <v>853.22753075279149</v>
      </c>
    </row>
    <row r="17" spans="1:20" ht="18" hidden="1" x14ac:dyDescent="0.35">
      <c r="A17" s="21">
        <v>1500</v>
      </c>
      <c r="B17" s="83">
        <f>(-5.8299*($A17/1000-0.24)^2+252.22*($A17/1000-0.24)+20.638+1)*(ABS(($E$3-$E$4)/LN(($E$3-$E$5)/($E$4-$E$5)))/49.833)^$F$30</f>
        <v>330.17858978690225</v>
      </c>
      <c r="C17" s="84">
        <f>(-6.593*($A17/1000-0.24)^2+317.28*($A17/1000-0.24)+29.653)*(ABS(($E$3-$E$4)/LN(($E$3-$E$5)/($E$4-$E$5)))/49.833)^$F$32</f>
        <v>418.95741238805243</v>
      </c>
      <c r="D17" s="84">
        <f>(-6.9021*($A17/1000-0.24)^2+325.76*($A17/1000-0.24)+29.658+1)*(ABS(($E$3-$E$4)/LN(($E$3-$E$5)/($E$4-$E$5)))/49.833)^$F$35</f>
        <v>430.15645095410719</v>
      </c>
      <c r="E17" s="84">
        <f>(-8.6196*($A17/1000-0.24)^2+410.68*($A17/1000-0.24)+35.874+1.5)*(ABS(($E$3-$E$4)/LN(($E$3-$E$5)/($E$4-$E$5)))/49.833)^$F$38</f>
        <v>541.14459672994315</v>
      </c>
      <c r="F17" s="85">
        <f>(-11.075*($A17/1000-0.24)^2+508.82*($A17/1000-0.24)+41.88+1)*(ABS(($E$3-$E$4)/LN(($E$3-$E$5)/($E$4-$E$5)))/49.833)^$F$41</f>
        <v>666.40839847111863</v>
      </c>
      <c r="G17" s="20"/>
      <c r="H17" s="21">
        <v>1500</v>
      </c>
      <c r="I17" s="83">
        <f>(-5.9426*($H17/1000-0.24)^2+283.15*($H17/1000-0.24)+26.226+1)*(ABS(($E$3-$E$4)/LN(($E$3-$E$5)/($E$4-$E$5)))/49.833)^$M$29</f>
        <v>374.55933071148547</v>
      </c>
      <c r="J17" s="84">
        <f>(-7.5563*($H17/1000-0.24)^2+368.47*($H17/1000-0.24)+33.94)*(ABS(($E$3-$E$4)/LN(($E$3-$E$5)/($E$4-$E$5)))/49.833)^$M$32</f>
        <v>486.21425984841585</v>
      </c>
      <c r="K17" s="84">
        <f>(-8.259*($H17/1000-0.24)^2+405.89*($H17/1000-0.24)+36.598+1.5)*(ABS(($E$3-$E$4)/LN(($E$3-$E$5)/($E$4-$E$5)))/49.833)^$M$35</f>
        <v>536.40569772082756</v>
      </c>
      <c r="L17" s="84">
        <f>(-9.0158*($H17/1000-0.24)^2+463.42*($H17/1000-0.24)+40.255+1)*(ABS(($E$3-$E$4)/LN(($E$3-$E$5)/($E$4-$E$5)))/49.833)^$M$38</f>
        <v>610.8487580673426</v>
      </c>
      <c r="M17" s="85">
        <f>(-11.631*($H17/1000-0.24)^2+574.87*($H17/1000-0.24)+48.66+1.5)*(ABS(($E$3-$E$4)/LN(($E$3-$E$5)/($E$4-$E$5)))/49.833)^$M$41</f>
        <v>756.02840449737118</v>
      </c>
      <c r="N17" s="8"/>
      <c r="O17" s="21">
        <v>1500</v>
      </c>
      <c r="P17" s="83">
        <f>(-6.5176*($O17/1000-0.24)^2+308.96*($O17/1000-0.24)+28.516+0.5)*(ABS(($E$3-$E$4)/LN(($E$3-$E$5)/($E$4-$E$5)))/49.833)^$T$29</f>
        <v>407.9569507758294</v>
      </c>
      <c r="Q17" s="84">
        <f>(-9.4899*($O17/1000-0.24)^2+447.68*($O17/1000-0.24)+38.334+1)*(ABS(($E$3-$E$4)/LN(($E$3-$E$5)/($E$4-$E$5)))/49.833)^$T$32</f>
        <v>588.34275681109989</v>
      </c>
      <c r="R17" s="84">
        <f>(-9.884*($O17/1000-0.24)^2+486.55*($O17/1000-0.24)+43.325+0.5)*(ABS(($E$3-$E$4)/LN(($E$3-$E$5)/($E$4-$E$5)))/49.833)^$T$35</f>
        <v>641.18411644496325</v>
      </c>
      <c r="S17" s="84">
        <f>(-11.943*($O17/1000-0.24)^2+602.88*($O17/1000-0.24)+52.513+1)*(ABS(($E$3-$E$4)/LN(($E$3-$E$5)/($E$4-$E$5)))/49.833)^$T$38</f>
        <v>794.17854775064006</v>
      </c>
      <c r="T17" s="85">
        <f>(-13.832*($O17/1000-0.24)^2+699.36*($O17/1000-0.24)+59.085+2)*(ABS(($E$3-$E$4)/LN(($E$3-$E$5)/($E$4-$E$5)))/49.833)^$T$41</f>
        <v>920.31597209186543</v>
      </c>
    </row>
    <row r="18" spans="1:20" ht="18" hidden="1" x14ac:dyDescent="0.35">
      <c r="A18" s="21">
        <v>1700</v>
      </c>
      <c r="B18" s="83">
        <f>(-5.8299*($A18/1000-0.24)^2+252.22*($A18/1000-0.24)+20.638+1)*(ABS(($E$3-$E$4)/LN(($E$3-$E$5)/($E$4-$E$5)))/49.833)^$F$30</f>
        <v>377.45097228509013</v>
      </c>
      <c r="C18" s="84">
        <f>(-6.593*($A18/1000-0.24)^2+317.28*($A18/1000-0.24)+29.653+0.5)*(ABS(($E$3-$E$4)/LN(($E$3-$E$5)/($E$4-$E$5)))/49.833)^$F$32</f>
        <v>479.32662718520629</v>
      </c>
      <c r="D18" s="84">
        <f>(-6.9021*($A18/1000-0.24)^2+325.76*($A18/1000-0.24)+29.658+1)*(ABS(($E$3-$E$4)/LN(($E$3-$E$5)/($E$4-$E$5)))/49.833)^$F$35</f>
        <v>491.55351228544095</v>
      </c>
      <c r="E18" s="84">
        <f>(-8.6196*($A18/1000-0.24)^2+410.68*($A18/1000-0.24)+35.874+1)*(ABS(($E$3-$E$4)/LN(($E$3-$E$5)/($E$4-$E$5)))/49.833)^$F$38</f>
        <v>618.09128886163523</v>
      </c>
      <c r="F18" s="85">
        <f>(-11.075*($A18/1000-0.24)^2+508.82*($A18/1000-0.24)+41.88+1)*(ABS(($E$3-$E$4)/LN(($E$3-$E$5)/($E$4-$E$5)))/49.833)^$F$41</f>
        <v>762.14729224716109</v>
      </c>
      <c r="G18" s="20"/>
      <c r="H18" s="21">
        <v>1700</v>
      </c>
      <c r="I18" s="83">
        <f>(-5.9426*($H18/1000-0.24)^2+283.15*($H18/1000-0.24)+26.226+0.5)*(ABS(($E$3-$E$4)/LN(($E$3-$E$5)/($E$4-$E$5)))/49.833)^$M$29</f>
        <v>427.45638719079278</v>
      </c>
      <c r="J18" s="84">
        <f>(-7.5563*($H18/1000-0.24)^2+368.47*($H18/1000-0.24)+33.94+1)*(ABS(($E$3-$E$4)/LN(($E$3-$E$5)/($E$4-$E$5)))/49.833)^$M$32</f>
        <v>556.79740643598086</v>
      </c>
      <c r="K18" s="84">
        <f>(-8.259*($H18/1000-0.24)^2+405.89*($H18/1000-0.24)+36.598+1.5)*(ABS(($E$3-$E$4)/LN(($E$3-$E$5)/($E$4-$E$5)))/49.833)^$M$35</f>
        <v>613.09055670370117</v>
      </c>
      <c r="L18" s="84">
        <f>(-9.0158*($H18/1000-0.24)^2+463.42*($H18/1000-0.24)+40.255+1)*(ABS(($E$3-$E$4)/LN(($E$3-$E$5)/($E$4-$E$5)))/49.833)^$M$38</f>
        <v>698.62788152341273</v>
      </c>
      <c r="M18" s="85">
        <f>(-11.631*($H18/1000-0.24)^2+574.87*($H18/1000-0.24)+48.66+1.5)*(ABS(($E$3-$E$4)/LN(($E$3-$E$5)/($E$4-$E$5)))/49.833)^$M$41</f>
        <v>864.67479274101845</v>
      </c>
      <c r="N18" s="8"/>
      <c r="O18" s="21">
        <v>1700</v>
      </c>
      <c r="P18" s="83">
        <f>(-6.5176*($O18/1000-0.24)^2+308.96*($O18/1000-0.24)+28.516+0.5)*(ABS(($E$3-$E$4)/LN(($E$3-$E$5)/($E$4-$E$5)))/49.833)^$T$29</f>
        <v>466.20318970203869</v>
      </c>
      <c r="Q18" s="84">
        <f>(-9.4899*($O18/1000-0.24)^2+447.68*($O18/1000-0.24)+38.334+1)*(ABS(($E$3-$E$4)/LN(($E$3-$E$5)/($E$4-$E$5)))/49.833)^$T$32</f>
        <v>672.71598189767099</v>
      </c>
      <c r="R18" s="84">
        <f>(-9.884*($O18/1000-0.24)^2+486.55*($O18/1000-0.24)+43.325+0.5)*(ABS(($E$3-$E$4)/LN(($E$3-$E$5)/($E$4-$E$5)))/49.833)^$T$35</f>
        <v>733.11692721116935</v>
      </c>
      <c r="S18" s="84">
        <f>(-11.943*($O18/1000-0.24)^2+602.88*($O18/1000-0.24)+52.513+1)*(ABS(($E$3-$E$4)/LN(($E$3-$E$5)/($E$4-$E$5)))/49.833)^$T$38</f>
        <v>908.25719011320507</v>
      </c>
      <c r="T18" s="85">
        <f>(-13.832*($O18/1000-0.24)^2+699.36*($O18/1000-0.24)+59.085+2)*(ABS(($E$3-$E$4)/LN(($E$3-$E$5)/($E$4-$E$5)))/49.833)^$T$41</f>
        <v>1052.6629406251357</v>
      </c>
    </row>
    <row r="19" spans="1:20" ht="18" hidden="1" x14ac:dyDescent="0.35">
      <c r="A19" s="21">
        <v>1900</v>
      </c>
      <c r="B19" s="86">
        <f>(-5.8299*($A19/1000-0.24)^2+252.22*($A19/1000-0.24)+20.638)*(ABS(($E$3-$E$4)/LN(($E$3-$E$5)/($E$4-$E$5)))/49.833)^$F$30</f>
        <v>423.25696749526577</v>
      </c>
      <c r="C19" s="87">
        <f>(-6.593*($A19/1000-0.24)^2+317.28*($A19/1000-0.24)+29.653)*(ABS(($E$3-$E$4)/LN(($E$3-$E$5)/($E$4-$E$5)))/49.833)^$F$32</f>
        <v>538.16840687069293</v>
      </c>
      <c r="D19" s="87">
        <f>(-6.9021*($A19/1000-0.24)^2+325.76*($A19/1000-0.24)+29.658+0.5)*(ABS(($E$3-$E$4)/LN(($E$3-$E$5)/($E$4-$E$5)))/49.833)^$F$35</f>
        <v>551.89840898024102</v>
      </c>
      <c r="E19" s="87">
        <f>(-8.6196*($A19/1000-0.24)^2+410.68*($A19/1000-0.24)+35.874+1)*(ABS(($E$3-$E$4)/LN(($E$3-$E$5)/($E$4-$E$5)))/49.833)^$F$38</f>
        <v>694.84841359806796</v>
      </c>
      <c r="F19" s="88">
        <f>(-11.075*($A19/1000-0.24)^2+508.82*($A19/1000-0.24)+41.88)*(ABS(($E$3-$E$4)/LN(($E$3-$E$5)/($E$4-$E$5)))/49.833)^$F$41</f>
        <v>856.00019205561625</v>
      </c>
      <c r="G19" s="20"/>
      <c r="H19" s="21">
        <v>1900</v>
      </c>
      <c r="I19" s="86">
        <f>(-5.9426*($H19/1000-0.24)^2+283.15*($H19/1000-0.24)+26.226+0.5)*(ABS(($E$3-$E$4)/LN(($E$3-$E$5)/($E$4-$E$5)))/49.833)^$M$29</f>
        <v>480.37803559147562</v>
      </c>
      <c r="J19" s="87">
        <f>(-7.5563*($H19/1000-0.24)^2+368.47*($H19/1000-0.24)+33.94+0.5)*(ABS(($E$3-$E$4)/LN(($E$3-$E$5)/($E$4-$E$5)))/49.833)^$M$32</f>
        <v>625.27605576826431</v>
      </c>
      <c r="K19" s="87">
        <f>(-8.259*($H19/1000-0.24)^2+405.89*($H19/1000-0.24)+36.598+1)*(ABS(($E$3-$E$4)/LN(($E$3-$E$5)/($E$4-$E$5)))/49.833)^$M$35</f>
        <v>688.61469939519952</v>
      </c>
      <c r="L19" s="87">
        <f>(-9.0158*($H19/1000-0.24)^2+463.42*($H19/1000-0.24)+40.255+1)*(ABS(($E$3-$E$4)/LN(($E$3-$E$5)/($E$4-$E$5)))/49.833)^$M$38</f>
        <v>785.68574329122384</v>
      </c>
      <c r="M19" s="88">
        <f>(-11.631*($H19/1000-0.24)^2+574.87*($H19/1000-0.24)+48.66+1.5)*(ABS(($E$3-$E$4)/LN(($E$3-$E$5)/($E$4-$E$5)))/49.833)^$M$41</f>
        <v>972.39070396294494</v>
      </c>
      <c r="N19" s="8"/>
      <c r="O19" s="21">
        <v>1900</v>
      </c>
      <c r="P19" s="86">
        <f>(-6.5176*($O19/1000-0.24)^2+308.96*($O19/1000-0.24)+28.516)*(ABS(($E$3-$E$4)/LN(($E$3-$E$5)/($E$4-$E$5)))/49.833)^$T$29</f>
        <v>523.42802390175518</v>
      </c>
      <c r="Q19" s="87">
        <f>(-9.4899*($O19/1000-0.24)^2+447.68*($O19/1000-0.24)+38.334+1)*(ABS(($E$3-$E$4)/LN(($E$3-$E$5)/($E$4-$E$5)))/49.833)^$T$32</f>
        <v>756.33001740752206</v>
      </c>
      <c r="R19" s="87">
        <f>(-9.884*($O19/1000-0.24)^2+486.55*($O19/1000-0.24)+43.325)*(ABS(($E$3-$E$4)/LN(($E$3-$E$5)/($E$4-$E$5)))/49.833)^$T$35</f>
        <v>823.75902209431183</v>
      </c>
      <c r="S19" s="87">
        <f>(-11.943*($O19/1000-0.24)^2+602.88*($O19/1000-0.24)+52.513)*(ABS(($E$3-$E$4)/LN(($E$3-$E$5)/($E$4-$E$5)))/49.833)^$T$38</f>
        <v>1020.3803987431988</v>
      </c>
      <c r="T19" s="88">
        <f>(-13.832*($O19/1000-0.24)^2+699.36*($O19/1000-0.24)+59.085+1)*(ABS(($E$3-$E$4)/LN(($E$3-$E$5)/($E$4-$E$5)))/49.833)^$T$41</f>
        <v>1182.903355898683</v>
      </c>
    </row>
    <row r="20" spans="1:20" ht="18" hidden="1" x14ac:dyDescent="0.35">
      <c r="A20" s="13">
        <v>2100</v>
      </c>
      <c r="B20" s="80">
        <f>(-5.8299*($A20/1000-0.24)^2+252.22*($A20/1000-0.24)+20.638)*(ABS(($E$3-$E$4)/LN(($E$3-$E$5)/($E$4-$E$5)))/49.833)^$F$30</f>
        <v>469.59656899078789</v>
      </c>
      <c r="C20" s="81">
        <f>(-6.593*($A20/1000-0.24)^2+317.28*($A20/1000-0.24)+29.653)*(ABS(($E$3-$E$4)/LN(($E$3-$E$5)/($E$4-$E$5)))/49.833)^$F$32</f>
        <v>596.98274664399719</v>
      </c>
      <c r="D20" s="81">
        <f>(-6.9021*($A20/1000-0.24)^2+325.76*($A20/1000-0.24)+29.658)*(ABS(($E$3-$E$4)/LN(($E$3-$E$5)/($E$4-$E$5)))/49.833)^$F$35</f>
        <v>611.69113944015703</v>
      </c>
      <c r="E20" s="81">
        <f>(-8.6196*($A20/1000-0.24)^2+410.68*($A20/1000-0.24)+35.874+1)*(ABS(($E$3-$E$4)/LN(($E$3-$E$5)/($E$4-$E$5)))/49.833)^$F$38</f>
        <v>770.91597253429052</v>
      </c>
      <c r="F20" s="82">
        <f>(-11.075*($A20/1000-0.24)^2+508.82*($A20/1000-0.24)+41.88)*(ABS(($E$3-$E$4)/LN(($E$3-$E$5)/($E$4-$E$5)))/49.833)^$F$41</f>
        <v>949.96709149944024</v>
      </c>
      <c r="G20" s="20"/>
      <c r="H20" s="13">
        <v>2100</v>
      </c>
      <c r="I20" s="80">
        <f>(-5.9426*($H20/1000-0.24)^2+283.15*($H20/1000-0.24)+26.226)*(ABS(($E$3-$E$4)/LN(($E$3-$E$5)/($E$4-$E$5)))/49.833)^$M$29</f>
        <v>532.32427911069021</v>
      </c>
      <c r="J20" s="81">
        <f>(-7.5563*($H20/1000-0.24)^2+368.47*($H20/1000-0.24)+33.94)*(ABS(($E$3-$E$4)/LN(($E$3-$E$5)/($E$4-$E$5)))/49.833)^$M$32</f>
        <v>693.15020303792073</v>
      </c>
      <c r="K20" s="81">
        <f>(-8.259*($H20/1000-0.24)^2+405.89*($H20/1000-0.24)+36.598)*(ABS(($E$3-$E$4)/LN(($E$3-$E$5)/($E$4-$E$5)))/49.833)^$M$35</f>
        <v>762.97812579532285</v>
      </c>
      <c r="L20" s="81">
        <f>(-9.0158*($H20/1000-0.24)^2+463.42*($H20/1000-0.24)+40.255+0.5)*(ABS(($E$3-$E$4)/LN(($E$3-$E$5)/($E$4-$E$5)))/49.833)^$M$38</f>
        <v>871.52234497333848</v>
      </c>
      <c r="M20" s="82">
        <f>(-11.631*($H20/1000-0.24)^2+574.87*($H20/1000-0.24)+48.66)*(ABS(($E$3-$E$4)/LN(($E$3-$E$5)/($E$4-$E$5)))/49.833)^$M$41</f>
        <v>1077.6761429643495</v>
      </c>
      <c r="N20" s="8"/>
      <c r="O20" s="13">
        <v>2100</v>
      </c>
      <c r="P20" s="80">
        <f>(-6.5176*($O20/1000-0.24)^2+308.96*($O20/1000-0.24)+28.516)*(ABS(($E$3-$E$4)/LN(($E$3-$E$5)/($E$4-$E$5)))/49.833)^$T$29</f>
        <v>580.6314501700823</v>
      </c>
      <c r="Q20" s="81">
        <f>(-9.4899*($O20/1000-0.24)^2+447.68*($O20/1000-0.24)+38.334)*(ABS(($E$3-$E$4)/LN(($E$3-$E$5)/($E$4-$E$5)))/49.833)^$T$32</f>
        <v>838.18486653257298</v>
      </c>
      <c r="R20" s="81">
        <f>(-9.884*($O20/1000-0.24)^2+486.55*($O20/1000-0.24)+43.325-0.5)*(ABS(($E$3-$E$4)/LN(($E$3-$E$5)/($E$4-$E$5)))/49.833)^$T$35</f>
        <v>913.61039949956887</v>
      </c>
      <c r="S20" s="81">
        <f>(-11.943*($O20/1000-0.24)^2+602.88*($O20/1000-0.24)+52.513+0.5)*(ABS(($E$3-$E$4)/LN(($E$3-$E$5)/($E$4-$E$5)))/49.833)^$T$38</f>
        <v>1133.04816562781</v>
      </c>
      <c r="T20" s="82">
        <f>(-13.832*($O20/1000-0.24)^2+699.36*($O20/1000-0.24)+59.085)*(ABS(($E$3-$E$4)/LN(($E$3-$E$5)/($E$4-$E$5)))/49.833)^$T$41</f>
        <v>1312.0372147128469</v>
      </c>
    </row>
    <row r="21" spans="1:20" ht="18" hidden="1" x14ac:dyDescent="0.35">
      <c r="A21" s="21">
        <v>2300</v>
      </c>
      <c r="B21" s="83">
        <f>(-5.8299*($A21/1000-0.24)^2+252.22*($A21/1000-0.24)+20.638)*(ABS(($E$3-$E$4)/LN(($E$3-$E$5)/($E$4-$E$5)))/49.833)^$F$30</f>
        <v>515.46977998497698</v>
      </c>
      <c r="C21" s="84">
        <f>(-6.593*($A21/1000-0.24)^2+317.28*($A21/1000-0.24)+29.653-0.5)*(ABS(($E$3-$E$4)/LN(($E$3-$E$5)/($E$4-$E$5)))/49.833)^$F$32</f>
        <v>654.76964970546203</v>
      </c>
      <c r="D21" s="84">
        <f>(-6.9021*($A21/1000-0.24)^2+325.76*($A21/1000-0.24)+29.658)*(ABS(($E$3-$E$4)/LN(($E$3-$E$5)/($E$4-$E$5)))/49.833)^$F$35</f>
        <v>671.43170206683851</v>
      </c>
      <c r="E21" s="84">
        <f>(-8.6196*($A21/1000-0.24)^2+410.68*($A21/1000-0.24)+35.874-0.5)*(ABS(($E$3-$E$4)/LN(($E$3-$E$5)/($E$4-$E$5)))/49.833)^$F$38</f>
        <v>844.79397045545045</v>
      </c>
      <c r="F21" s="85">
        <f>(-11.075*($A21/1000-0.24)^2+508.82*($A21/1000-0.24)+41.88-1)*(ABS(($E$3-$E$4)/LN(($E$3-$E$5)/($E$4-$E$5)))/49.833)^$F$41</f>
        <v>1042.0479969756768</v>
      </c>
      <c r="G21" s="20"/>
      <c r="H21" s="21">
        <v>2300</v>
      </c>
      <c r="I21" s="83">
        <f>(-5.9426*($H21/1000-0.24)^2+283.15*($H21/1000-0.24)+26.226-0.5)*(ABS(($E$3-$E$4)/LN(($E$3-$E$5)/($E$4-$E$5)))/49.833)^$M$29</f>
        <v>583.79511614985836</v>
      </c>
      <c r="J21" s="84">
        <f>(-7.5563*($H21/1000-0.24)^2+368.47*($H21/1000-0.24)+33.94)*(ABS(($E$3-$E$4)/LN(($E$3-$E$5)/($E$4-$E$5)))/49.833)^$M$32</f>
        <v>760.91984664250151</v>
      </c>
      <c r="K21" s="84">
        <f>(-8.259*($H21/1000-0.24)^2+405.89*($H21/1000-0.24)+36.598-0.5)*(ABS(($E$3-$E$4)/LN(($E$3-$E$5)/($E$4-$E$5)))/49.833)^$M$35</f>
        <v>837.18083270896341</v>
      </c>
      <c r="L21" s="84">
        <f>(-9.0158*($H21/1000-0.24)^2+463.42*($H21/1000-0.24)+40.255)*(ABS(($E$3-$E$4)/LN(($E$3-$E$5)/($E$4-$E$5)))/49.833)^$M$38</f>
        <v>956.63768496719354</v>
      </c>
      <c r="M21" s="85">
        <f>(-11.631*($H21/1000-0.24)^2+574.87*($H21/1000-0.24)+48.66-0.5)*(ABS(($E$3-$E$4)/LN(($E$3-$E$5)/($E$4-$E$5)))/49.833)^$M$41</f>
        <v>1183.0311017432339</v>
      </c>
      <c r="N21" s="8"/>
      <c r="O21" s="21">
        <v>2300</v>
      </c>
      <c r="P21" s="83">
        <f>(-6.5176*($O21/1000-0.24)^2+308.96*($O21/1000-0.24)+28.516)*(ABS(($E$3-$E$4)/LN(($E$3-$E$5)/($E$4-$E$5)))/49.833)^$T$29</f>
        <v>637.31347010946808</v>
      </c>
      <c r="Q21" s="84">
        <f>(-9.4899*($O21/1000-0.24)^2+447.68*($O21/1000-0.24)+38.334-1)*(ABS(($E$3-$E$4)/LN(($E$3-$E$5)/($E$4-$E$5)))/49.833)^$T$32</f>
        <v>919.28052608090366</v>
      </c>
      <c r="R21" s="84">
        <f>(-9.884*($O21/1000-0.24)^2+486.55*($O21/1000-0.24)+43.325-1)*(ABS(($E$3-$E$4)/LN(($E$3-$E$5)/($E$4-$E$5)))/49.833)^$T$35</f>
        <v>1002.6710594269402</v>
      </c>
      <c r="S21" s="84">
        <f>(-11.943*($O21/1000-0.24)^2+602.88*($O21/1000-0.24)+52.513)*(ABS(($E$3-$E$4)/LN(($E$3-$E$5)/($E$4-$E$5)))/49.833)^$T$38</f>
        <v>1243.76049877985</v>
      </c>
      <c r="T21" s="85">
        <f>(-13.832*($O21/1000-0.24)^2+699.36*($O21/1000-0.24)+59.085)*(ABS(($E$3-$E$4)/LN(($E$3-$E$5)/($E$4-$E$5)))/49.833)^$T$41</f>
        <v>1441.0645138679663</v>
      </c>
    </row>
    <row r="22" spans="1:20" ht="18" hidden="1" x14ac:dyDescent="0.35">
      <c r="A22" s="21">
        <v>2500</v>
      </c>
      <c r="B22" s="83">
        <f>(-5.8299*($A22/1000-0.24)^2+252.22*($A22/1000-0.24)+20.638-1)*(ABS(($E$3-$E$4)/LN(($E$3-$E$5)/($E$4-$E$5)))/49.833)^$F$30</f>
        <v>559.87660369115372</v>
      </c>
      <c r="C22" s="84">
        <f>(-6.593*($A22/1000-0.24)^2+317.28*($A22/1000-0.24)+29.653)*(ABS(($E$3-$E$4)/LN(($E$3-$E$5)/($E$4-$E$5)))/49.833)^$F$32</f>
        <v>713.02911125457274</v>
      </c>
      <c r="D22" s="84">
        <f>(-6.9021*($A22/1000-0.24)^2+325.76*($A22/1000-0.24)+29.658-0.5)*(ABS(($E$3-$E$4)/LN(($E$3-$E$5)/($E$4-$E$5)))/49.833)^$F$35</f>
        <v>730.12010005698653</v>
      </c>
      <c r="E22" s="84">
        <f>(-8.6196*($A22/1000-0.24)^2+410.68*($A22/1000-0.24)+35.874-0.5)*(ABS(($E$3-$E$4)/LN(($E$3-$E$5)/($E$4-$E$5)))/49.833)^$F$38</f>
        <v>919.48239779125265</v>
      </c>
      <c r="F22" s="85">
        <f>(-11.075*($A22/1000-0.24)^2+508.82*($A22/1000-0.24)+41.88-0.5)*(ABS(($E$3-$E$4)/LN(($E$3-$E$5)/($E$4-$E$5)))/49.833)^$F$41</f>
        <v>1134.742900488021</v>
      </c>
      <c r="G22" s="20"/>
      <c r="H22" s="21">
        <v>2500</v>
      </c>
      <c r="I22" s="83">
        <f>(-5.9426*($H22/1000-0.24)^2+283.15*($H22/1000-0.24)+26.226-0.5)*(ABS(($E$3-$E$4)/LN(($E$3-$E$5)/($E$4-$E$5)))/49.833)^$M$29</f>
        <v>635.29054511040204</v>
      </c>
      <c r="J22" s="84">
        <f>(-7.5563*($H22/1000-0.24)^2+368.47*($H22/1000-0.24)+33.94)*(ABS(($E$3-$E$4)/LN(($E$3-$E$5)/($E$4-$E$5)))/49.833)^$M$32</f>
        <v>828.08498818445571</v>
      </c>
      <c r="K22" s="84">
        <f>(-8.259*($H22/1000-0.24)^2+405.89*($H22/1000-0.24)+36.598-0.5)*(ABS(($E$3-$E$4)/LN(($E$3-$E$5)/($E$4-$E$5)))/49.833)^$M$35</f>
        <v>911.22282013612198</v>
      </c>
      <c r="L22" s="84">
        <f>(-9.0158*($H22/1000-0.24)^2+463.42*($H22/1000-0.24)+40.255-1)*(ABS(($E$3-$E$4)/LN(($E$3-$E$5)/($E$4-$E$5)))/49.833)^$M$38</f>
        <v>1040.5317648753526</v>
      </c>
      <c r="M22" s="85">
        <f>(-11.631*($H22/1000-0.24)^2+574.87*($H22/1000-0.24)+48.66-1)*(ABS(($E$3-$E$4)/LN(($E$3-$E$5)/($E$4-$E$5)))/49.833)^$M$41</f>
        <v>1287.4555835003982</v>
      </c>
      <c r="N22" s="8"/>
      <c r="O22" s="21">
        <v>2500</v>
      </c>
      <c r="P22" s="83">
        <f>(-6.5176*($O22/1000-0.24)^2+308.96*($O22/1000-0.24)+28.516-1)*(ABS(($E$3-$E$4)/LN(($E$3-$E$5)/($E$4-$E$5)))/49.833)^$T$29</f>
        <v>692.47408692480997</v>
      </c>
      <c r="Q22" s="84">
        <f>(-9.4899*($O22/1000-0.24)^2+447.68*($O22/1000-0.24)+38.334-0.5)*(ABS(($E$3-$E$4)/LN(($E$3-$E$5)/($E$4-$E$5)))/49.833)^$T$32</f>
        <v>1001.1169912646345</v>
      </c>
      <c r="R22" s="84">
        <f>(-9.884*($O22/1000-0.24)^2+486.55*($O22/1000-0.24)+43.325-1)*(ABS(($E$3-$E$4)/LN(($E$3-$E$5)/($E$4-$E$5)))/49.833)^$T$35</f>
        <v>1091.4410002816048</v>
      </c>
      <c r="S22" s="84">
        <f>(-11.943*($O22/1000-0.24)^2+602.88*($O22/1000-0.24)+52.513-1)*(ABS(($E$3-$E$4)/LN(($E$3-$E$5)/($E$4-$E$5)))/49.833)^$T$38</f>
        <v>1353.0173965967563</v>
      </c>
      <c r="T22" s="85">
        <f>(-13.832*($O22/1000-0.24)^2+699.36*($O22/1000-0.24)+59.085-1)*(ABS(($E$3-$E$4)/LN(($E$3-$E$5)/($E$4-$E$5)))/49.833)^$T$41</f>
        <v>1567.985259763363</v>
      </c>
    </row>
    <row r="23" spans="1:20" ht="18" hidden="1" x14ac:dyDescent="0.35">
      <c r="A23" s="19">
        <v>2700</v>
      </c>
      <c r="B23" s="86">
        <f>(-5.8299*($A23/1000-0.24)^2+252.22*($A23/1000-0.24)+20.638-1)*(ABS(($E$3-$E$4)/LN(($E$3-$E$5)/($E$4-$E$5)))/49.833)^$F$30</f>
        <v>604.81703368267699</v>
      </c>
      <c r="C23" s="87">
        <f>(-6.593*($A23/1000-0.24)^2+317.28*($A23/1000-0.24)+29.653-0.5)*(ABS(($E$3-$E$4)/LN(($E$3-$E$5)/($E$4-$E$5)))/49.833)^$F$32</f>
        <v>769.7611376920164</v>
      </c>
      <c r="D23" s="87">
        <f>(-6.9021*($A23/1000-0.24)^2+325.76*($A23/1000-0.24)+29.658-0.5)*(ABS(($E$3-$E$4)/LN(($E$3-$E$5)/($E$4-$E$5)))/49.833)^$F$35</f>
        <v>788.7563302138999</v>
      </c>
      <c r="E23" s="87">
        <f>(-8.6196*($A23/1000-0.24)^2+410.68*($A23/1000-0.24)+35.874-0.5)*(ABS(($E$3-$E$4)/LN(($E$3-$E$5)/($E$4-$E$5)))/49.833)^$F$38</f>
        <v>993.48125932684479</v>
      </c>
      <c r="F23" s="88">
        <f>(-11.075*($A23/1000-0.24)^2+508.82*($A23/1000-0.24)+41.88-0.5)*(ABS(($E$3-$E$4)/LN(($E$3-$E$5)/($E$4-$E$5)))/49.833)^$F$41</f>
        <v>1226.051808433517</v>
      </c>
      <c r="G23" s="20"/>
      <c r="H23" s="19">
        <v>2700</v>
      </c>
      <c r="I23" s="86">
        <f>(-5.9426*($H23/1000-0.24)^2+283.15*($H23/1000-0.24)+26.226-1)*(ABS(($E$3-$E$4)/LN(($E$3-$E$5)/($E$4-$E$5)))/49.833)^$M$29</f>
        <v>685.81056918947763</v>
      </c>
      <c r="J23" s="87">
        <f>(-7.5563*($H23/1000-0.24)^2+368.47*($H23/1000-0.24)+33.94-0.5)*(ABS(($E$3-$E$4)/LN(($E$3-$E$5)/($E$4-$E$5)))/49.833)^$M$32</f>
        <v>894.14562926623125</v>
      </c>
      <c r="K23" s="87">
        <f>(-8.259*($H23/1000-0.24)^2+405.89*($H23/1000-0.24)+36.598-1)*(ABS(($E$3-$E$4)/LN(($E$3-$E$5)/($E$4-$E$5)))/49.833)^$M$35</f>
        <v>984.10409127190519</v>
      </c>
      <c r="L23" s="87">
        <f>(-9.0158*($H23/1000-0.24)^2+463.42*($H23/1000-0.24)+40.255-1)*(ABS(($E$3-$E$4)/LN(($E$3-$E$5)/($E$4-$E$5)))/49.833)^$M$38</f>
        <v>1124.7045798901279</v>
      </c>
      <c r="M23" s="88">
        <f>(-11.631*($H23/1000-0.24)^2+574.87*($H23/1000-0.24)+48.66-1)*(ABS(($E$3-$E$4)/LN(($E$3-$E$5)/($E$4-$E$5)))/49.833)^$M$41</f>
        <v>1391.4495866354425</v>
      </c>
      <c r="N23" s="8"/>
      <c r="O23" s="19">
        <v>2700</v>
      </c>
      <c r="P23" s="86">
        <f>(-6.5176*($O23/1000-0.24)^2+308.96*($O23/1000-0.24)+28.516-0.5)*(ABS(($E$3-$E$4)/LN(($E$3-$E$5)/($E$4-$E$5)))/49.833)^$T$29</f>
        <v>748.61329260386515</v>
      </c>
      <c r="Q23" s="87">
        <f>(-9.4899*($O23/1000-0.24)^2+447.68*($O23/1000-0.24)+38.334-1)*(ABS(($E$3-$E$4)/LN(($E$3-$E$5)/($E$4-$E$5)))/49.833)^$T$32</f>
        <v>1081.1942700635657</v>
      </c>
      <c r="R23" s="87">
        <f>(-9.884*($O23/1000-0.24)^2+486.55*($O23/1000-0.24)+43.325-1.5)*(ABS(($E$3-$E$4)/LN(($E$3-$E$5)/($E$4-$E$5)))/49.833)^$T$35</f>
        <v>1178.9202252532061</v>
      </c>
      <c r="S23" s="87">
        <f>(-11.943*($O23/1000-0.24)^2+602.88*($O23/1000-0.24)+52.513-1.5)*(ABS(($E$3-$E$4)/LN(($E$3-$E$5)/($E$4-$E$5)))/49.833)^$T$38</f>
        <v>1461.8188558734048</v>
      </c>
      <c r="T23" s="88">
        <f>(-13.832*($O23/1000-0.24)^2+699.36*($O23/1000-0.24)+59.085-1.5)*(ABS(($E$3-$E$4)/LN(($E$3-$E$5)/($E$4-$E$5)))/49.833)^$T$41</f>
        <v>1694.2994475995458</v>
      </c>
    </row>
    <row r="24" spans="1:20" ht="18" hidden="1" x14ac:dyDescent="0.35">
      <c r="A24" s="21">
        <v>2900</v>
      </c>
      <c r="B24" s="80">
        <f>(-5.8299*($A24/1000-0.24)^2+252.22*($A24/1000-0.24)+20.638-1)*(ABS(($E$3-$E$4)/LN(($E$3-$E$5)/($E$4-$E$5)))/49.833)^$F$30</f>
        <v>649.2910731728673</v>
      </c>
      <c r="C24" s="81">
        <f>(-6.593*($A24/1000-0.24)^2+317.28*($A24/1000-0.24)+29.653-1)*(ABS(($E$3-$E$4)/LN(($E$3-$E$5)/($E$4-$E$5)))/49.833)^$F$32</f>
        <v>825.9657258174492</v>
      </c>
      <c r="D24" s="81">
        <f>(-6.9021*($A24/1000-0.24)^2+325.76*($A24/1000-0.24)+29.658-1)*(ABS(($E$3-$E$4)/LN(($E$3-$E$5)/($E$4-$E$5)))/49.833)^$F$35</f>
        <v>846.3403957342797</v>
      </c>
      <c r="E24" s="81">
        <f>(-8.6196*($A24/1000-0.24)^2+410.68*($A24/1000-0.24)+35.874-1)*(ABS(($E$3-$E$4)/LN(($E$3-$E$5)/($E$4-$E$5)))/49.833)^$F$38</f>
        <v>1066.2905566572761</v>
      </c>
      <c r="F24" s="82">
        <f>(-11.075*($A24/1000-0.24)^2+508.82*($A24/1000-0.24)+41.88)*(ABS(($E$3-$E$4)/LN(($E$3-$E$5)/($E$4-$E$5)))/49.833)^$F$41</f>
        <v>1316.974717613642</v>
      </c>
      <c r="G24" s="20"/>
      <c r="H24" s="21">
        <v>2900</v>
      </c>
      <c r="I24" s="80">
        <f>(-5.9426*($H24/1000-0.24)^2+283.15*($H24/1000-0.24)+26.226-0.5)*(ABS(($E$3-$E$4)/LN(($E$3-$E$5)/($E$4-$E$5)))/49.833)^$M$29</f>
        <v>736.85518359135051</v>
      </c>
      <c r="J24" s="81">
        <f>(-7.5563*($H24/1000-0.24)^2+368.47*($H24/1000-0.24)+33.94-1)*(ABS(($E$3-$E$4)/LN(($E$3-$E$5)/($E$4-$E$5)))/49.833)^$M$32</f>
        <v>959.60176828537976</v>
      </c>
      <c r="K24" s="81">
        <f>(-8.259*($H24/1000-0.24)^2+405.89*($H24/1000-0.24)+36.598-1)*(ABS(($E$3-$E$4)/LN(($E$3-$E$5)/($E$4-$E$5)))/49.833)^$M$35</f>
        <v>1056.8246429212063</v>
      </c>
      <c r="L24" s="81">
        <f>(-9.0158*($H24/1000-0.24)^2+463.42*($H24/1000-0.24)+40.255-1)*(ABS(($E$3-$E$4)/LN(($E$3-$E$5)/($E$4-$E$5)))/49.833)^$M$38</f>
        <v>1208.1561332166439</v>
      </c>
      <c r="M24" s="82">
        <f>(-11.631*($H24/1000-0.24)^2+574.87*($H24/1000-0.24)+48.66-1)*(ABS(($E$3-$E$4)/LN(($E$3-$E$5)/($E$4-$E$5)))/49.833)^$M$41</f>
        <v>1494.5131127487659</v>
      </c>
      <c r="N24" s="8"/>
      <c r="O24" s="21">
        <v>2900</v>
      </c>
      <c r="P24" s="80">
        <f>(-6.5176*($O24/1000-0.24)^2+308.96*($O24/1000-0.24)+28.516)*(ABS(($E$3-$E$4)/LN(($E$3-$E$5)/($E$4-$E$5)))/49.833)^$T$29</f>
        <v>804.23109195397933</v>
      </c>
      <c r="Q24" s="81">
        <f>(-9.4899*($O24/1000-0.24)^2+447.68*($O24/1000-0.24)+38.334-1.5)*(ABS(($E$3-$E$4)/LN(($E$3-$E$5)/($E$4-$E$5)))/49.833)^$T$32</f>
        <v>1160.5123592857765</v>
      </c>
      <c r="R24" s="81">
        <f>(-9.884*($O24/1000-0.24)^2+486.55*($O24/1000-0.24)+43.325-1.5)*(ABS(($E$3-$E$4)/LN(($E$3-$E$5)/($E$4-$E$5)))/49.833)^$T$35</f>
        <v>1266.1087311521003</v>
      </c>
      <c r="S24" s="81">
        <f>(-11.943*($O24/1000-0.24)^2+602.88*($O24/1000-0.24)+52.513-2)*(ABS(($E$3-$E$4)/LN(($E$3-$E$5)/($E$4-$E$5)))/49.833)^$T$38</f>
        <v>1569.664878212358</v>
      </c>
      <c r="T24" s="82">
        <f>(-13.832*($O24/1000-0.24)^2+699.36*($O24/1000-0.24)+59.085-1.5)*(ABS(($E$3-$E$4)/LN(($E$3-$E$5)/($E$4-$E$5)))/49.833)^$T$41</f>
        <v>1820.0070773765146</v>
      </c>
    </row>
    <row r="25" spans="1:20" ht="18" hidden="1" x14ac:dyDescent="0.35">
      <c r="A25" s="21">
        <v>3100</v>
      </c>
      <c r="B25" s="83">
        <f>(-5.8299*($A25/1000-0.24)^2+252.22*($A25/1000-0.24)+20.638-1)*(ABS(($E$3-$E$4)/LN(($E$3-$E$5)/($E$4-$E$5)))/49.833)^$F$30</f>
        <v>693.29872216172475</v>
      </c>
      <c r="C25" s="84">
        <f>(-6.593*($A25/1000-0.24)^2+317.28*($A25/1000-0.24)+29.653-0.5)*(ABS(($E$3-$E$4)/LN(($E$3-$E$5)/($E$4-$E$5)))/49.833)^$F$32</f>
        <v>882.64287243052752</v>
      </c>
      <c r="D25" s="84">
        <f>(-6.9021*($A25/1000-0.24)^2+325.76*($A25/1000-0.24)+29.658-0.5)*(ABS(($E$3-$E$4)/LN(($E$3-$E$5)/($E$4-$E$5)))/49.833)^$F$35</f>
        <v>904.37229182307453</v>
      </c>
      <c r="E25" s="84">
        <f>(-8.6196*($A25/1000-0.24)^2+410.68*($A25/1000-0.24)+35.874-0.5)*(ABS(($E$3-$E$4)/LN(($E$3-$E$5)/($E$4-$E$5)))/49.833)^$F$38</f>
        <v>1139.4102849973983</v>
      </c>
      <c r="F25" s="85">
        <f>(-11.075*($A25/1000-0.24)^2+508.82*($A25/1000-0.24)+41.88)*(ABS(($E$3-$E$4)/LN(($E$3-$E$5)/($E$4-$E$5)))/49.833)^$F$41</f>
        <v>1406.5116312269195</v>
      </c>
      <c r="G25" s="20"/>
      <c r="H25" s="21">
        <v>3100</v>
      </c>
      <c r="I25" s="83">
        <f>(-5.9426*($H25/1000-0.24)^2+283.15*($H25/1000-0.24)+26.226-0.5)*(ABS(($E$3-$E$4)/LN(($E$3-$E$5)/($E$4-$E$5)))/49.833)^$M$29</f>
        <v>786.92439311175519</v>
      </c>
      <c r="J25" s="84">
        <f>(-7.5563*($H25/1000-0.24)^2+368.47*($H25/1000-0.24)+33.94-0.5)*(ABS(($E$3-$E$4)/LN(($E$3-$E$5)/($E$4-$E$5)))/49.833)^$M$32</f>
        <v>1025.4534020370045</v>
      </c>
      <c r="K25" s="84">
        <f>(-8.259*($H25/1000-0.24)^2+405.89*($H25/1000-0.24)+36.598-0.5)*(ABS(($E$3-$E$4)/LN(($E$3-$E$5)/($E$4-$E$5)))/49.833)^$M$35</f>
        <v>1129.3844750840249</v>
      </c>
      <c r="L25" s="84">
        <f>(-9.0158*($H25/1000-0.24)^2+463.42*($H25/1000-0.24)+40.255-1)*(ABS(($E$3-$E$4)/LN(($E$3-$E$5)/($E$4-$E$5)))/49.833)^$M$38</f>
        <v>1290.8864248549012</v>
      </c>
      <c r="M25" s="85">
        <f>(-11.631*($H25/1000-0.24)^2+574.87*($H25/1000-0.24)+48.66-1)*(ABS(($E$3-$E$4)/LN(($E$3-$E$5)/($E$4-$E$5)))/49.833)^$M$41</f>
        <v>1596.6461618403687</v>
      </c>
      <c r="N25" s="8"/>
      <c r="O25" s="21">
        <v>3100</v>
      </c>
      <c r="P25" s="83">
        <f>(-6.5176*($O25/1000-0.24)^2+308.96*($O25/1000-0.24)+28.516-0.5)*(ABS(($E$3-$E$4)/LN(($E$3-$E$5)/($E$4-$E$5)))/49.833)^$T$29</f>
        <v>858.32748818004961</v>
      </c>
      <c r="Q25" s="84">
        <f>(-9.4899*($O25/1000-0.24)^2+447.68*($O25/1000-0.24)+38.334-0.5)*(ABS(($E$3-$E$4)/LN(($E$3-$E$5)/($E$4-$E$5)))/49.833)^$T$32</f>
        <v>1240.5712541433879</v>
      </c>
      <c r="R25" s="84">
        <f>(-9.884*($O25/1000-0.24)^2+486.55*($O25/1000-0.24)+43.325-1)*(ABS(($E$3-$E$4)/LN(($E$3-$E$5)/($E$4-$E$5)))/49.833)^$T$35</f>
        <v>1353.0065179782869</v>
      </c>
      <c r="S25" s="84">
        <f>(-11.943*($O25/1000-0.24)^2+602.88*($O25/1000-0.24)+52.513-1)*(ABS(($E$3-$E$4)/LN(($E$3-$E$5)/($E$4-$E$5)))/49.833)^$T$38</f>
        <v>1678.0554588059279</v>
      </c>
      <c r="T25" s="85">
        <f>(-13.832*($O25/1000-0.24)^2+699.36*($O25/1000-0.24)+59.085-0.5)*(ABS(($E$3-$E$4)/LN(($E$3-$E$5)/($E$4-$E$5)))/49.833)^$T$41</f>
        <v>1945.6081474944392</v>
      </c>
    </row>
    <row r="26" spans="1:20" ht="18" hidden="1" x14ac:dyDescent="0.35">
      <c r="A26" s="21">
        <v>3300</v>
      </c>
      <c r="B26" s="83">
        <f>(-5.8299*($A26/1000-0.24)^2+252.22*($A26/1000-0.24)+20.638)*(ABS(($E$3-$E$4)/LN(($E$3-$E$5)/($E$4-$E$5)))/49.833)^$F$30</f>
        <v>737.83997743592818</v>
      </c>
      <c r="C26" s="84">
        <f>(-6.593*($A26/1000-0.24)^2+317.28*($A26/1000-0.24)+29.653-0.5)*(ABS(($E$3-$E$4)/LN(($E$3-$E$5)/($E$4-$E$5)))/49.833)^$F$32</f>
        <v>938.29258233176665</v>
      </c>
      <c r="D26" s="84">
        <f>(-6.9021*($A26/1000-0.24)^2+325.76*($A26/1000-0.24)+29.658)*(ABS(($E$3-$E$4)/LN(($E$3-$E$5)/($E$4-$E$5)))/49.833)^$F$35</f>
        <v>961.85202167698503</v>
      </c>
      <c r="E26" s="84">
        <f>(-8.6196*($A26/1000-0.24)^2+410.68*($A26/1000-0.24)+35.874)*(ABS(($E$3-$E$4)/LN(($E$3-$E$5)/($E$4-$E$5)))/49.833)^$F$38</f>
        <v>1211.8404475373104</v>
      </c>
      <c r="F26" s="85">
        <f>(-11.075*($A26/1000-0.24)^2+508.82*($A26/1000-0.24)+41.88+1)*(ABS(($E$3-$E$4)/LN(($E$3-$E$5)/($E$4-$E$5)))/49.833)^$F$41</f>
        <v>1496.1625444755648</v>
      </c>
      <c r="G26" s="20"/>
      <c r="H26" s="21">
        <v>3300</v>
      </c>
      <c r="I26" s="83">
        <f>(-5.9426*($H26/1000-0.24)^2+283.15*($H26/1000-0.24)+26.226-0.5)*(ABS(($E$3-$E$4)/LN(($E$3-$E$5)/($E$4-$E$5)))/49.833)^$M$29</f>
        <v>836.51819615211332</v>
      </c>
      <c r="J26" s="84">
        <f>(-7.5563*($H26/1000-0.24)^2+368.47*($H26/1000-0.24)+33.94-0.5)*(ABS(($E$3-$E$4)/LN(($E$3-$E$5)/($E$4-$E$5)))/49.833)^$M$32</f>
        <v>1090.2005353284503</v>
      </c>
      <c r="K26" s="84">
        <f>(-8.259*($H26/1000-0.24)^2+405.89*($H26/1000-0.24)+36.598)*(ABS(($E$3-$E$4)/LN(($E$3-$E$5)/($E$4-$E$5)))/49.833)^$M$35</f>
        <v>1201.2835893579143</v>
      </c>
      <c r="L26" s="84">
        <f>(-9.0158*($H26/1000-0.24)^2+463.42*($H26/1000-0.24)+40.255-0.5)*(ABS(($E$3-$E$4)/LN(($E$3-$E$5)/($E$4-$E$5)))/49.833)^$M$38</f>
        <v>1373.3954532023367</v>
      </c>
      <c r="M26" s="85">
        <f>(-11.631*($H26/1000-0.24)^2+574.87*($H26/1000-0.24)+48.66-1)*(ABS(($E$3-$E$4)/LN(($E$3-$E$5)/($E$4-$E$5)))/49.833)^$M$41</f>
        <v>1697.8487339102505</v>
      </c>
      <c r="N26" s="8"/>
      <c r="O26" s="21">
        <v>3300</v>
      </c>
      <c r="P26" s="83">
        <f>(-6.5176*($O26/1000-0.24)^2+308.96*($O26/1000-0.24)+28.516)*(ABS(($E$3-$E$4)/LN(($E$3-$E$5)/($E$4-$E$5)))/49.833)^$T$29</f>
        <v>912.90247487228123</v>
      </c>
      <c r="Q26" s="84">
        <f>(-9.4899*($O26/1000-0.24)^2+447.68*($O26/1000-0.24)+38.334)*(ABS(($E$3-$E$4)/LN(($E$3-$E$5)/($E$4-$E$5)))/49.833)^$T$32</f>
        <v>1319.3709610202388</v>
      </c>
      <c r="R26" s="84">
        <f>(-9.884*($O26/1000-0.24)^2+486.55*($O26/1000-0.24)+43.325)*(ABS(($E$3-$E$4)/LN(($E$3-$E$5)/($E$4-$E$5)))/49.833)^$T$35</f>
        <v>1439.6135857317668</v>
      </c>
      <c r="S26" s="84">
        <f>(-11.943*($O26/1000-0.24)^2+602.88*($O26/1000-0.24)+52.513)*(ABS(($E$3-$E$4)/LN(($E$3-$E$5)/($E$4-$E$5)))/49.833)^$T$38</f>
        <v>1785.4906024618017</v>
      </c>
      <c r="T26" s="85">
        <f>(-13.832*($O26/1000-0.24)^2+699.36*($O26/1000-0.24)+59.085)*(ABS(($E$3-$E$4)/LN(($E$3-$E$5)/($E$4-$E$5)))/49.833)^$T$41</f>
        <v>2069.6026627528095</v>
      </c>
    </row>
    <row r="27" spans="1:20" ht="18" hidden="1" x14ac:dyDescent="0.35">
      <c r="A27" s="19">
        <v>3500</v>
      </c>
      <c r="B27" s="86">
        <f>(-5.8299*($A27/1000-0.24)^2+252.22*($A27/1000-0.24)+20.638)*(ABS(($E$3-$E$4)/LN(($E$3-$E$5)/($E$4-$E$5)))/49.833)^$F$30</f>
        <v>780.9148454221197</v>
      </c>
      <c r="C27" s="87">
        <f>(-6.593*($A27/1000-0.24)^2+317.28*($A27/1000-0.24)+29.653+0.5)*(ABS(($E$3-$E$4)/LN(($E$3-$E$5)/($E$4-$E$5)))/49.833)^$F$32</f>
        <v>994.41485072065188</v>
      </c>
      <c r="D27" s="87">
        <f>(-6.9021*($A27/1000-0.24)^2+325.76*($A27/1000-0.24)+29.658+0.5)*(ABS(($E$3-$E$4)/LN(($E$3-$E$5)/($E$4-$E$5)))/49.833)^$F$35</f>
        <v>1018.7795852960118</v>
      </c>
      <c r="E27" s="87">
        <f>(-8.6196*($A27/1000-0.24)^2+410.68*($A27/1000-0.24)+35.874+0.5)*(ABS(($E$3-$E$4)/LN(($E$3-$E$5)/($E$4-$E$5)))/49.833)^$F$38</f>
        <v>1283.5810442770123</v>
      </c>
      <c r="F27" s="88">
        <f>(-11.075*($A27/1000-0.24)^2+508.82*($A27/1000-0.24)+41.88+2.5)*(ABS(($E$3-$E$4)/LN(($E$3-$E$5)/($E$4-$E$5)))/49.833)^$F$41</f>
        <v>1585.4274589588401</v>
      </c>
      <c r="G27" s="20"/>
      <c r="H27" s="19">
        <v>3500</v>
      </c>
      <c r="I27" s="86">
        <f>(-5.9426*($H27/1000-0.24)^2+283.15*($H27/1000-0.24)+26.226)*(ABS(($E$3-$E$4)/LN(($E$3-$E$5)/($E$4-$E$5)))/49.833)^$M$29</f>
        <v>886.13659111384709</v>
      </c>
      <c r="J27" s="87">
        <f>(-7.5563*($H27/1000-0.24)^2+368.47*($H27/1000-0.24)+33.94+0.5)*(ABS(($E$3-$E$4)/LN(($E$3-$E$5)/($E$4-$E$5)))/49.833)^$M$32</f>
        <v>1155.3431633523724</v>
      </c>
      <c r="K27" s="87">
        <f>(-8.259*($H27/1000-0.24)^2+405.89*($H27/1000-0.24)+36.598+0.5)*(ABS(($E$3-$E$4)/LN(($E$3-$E$5)/($E$4-$E$5)))/49.833)^$M$35</f>
        <v>1272.5219857428754</v>
      </c>
      <c r="L27" s="87">
        <f>(-9.0158*($H27/1000-0.24)^2+463.42*($H27/1000-0.24)+40.255)*(ABS(($E$3-$E$4)/LN(($E$3-$E$5)/($E$4-$E$5)))/49.833)^$M$38</f>
        <v>1455.1832198615136</v>
      </c>
      <c r="M27" s="88">
        <f>(-11.631*($H27/1000-0.24)^2+574.87*($H27/1000-0.24)+48.66)*(ABS(($E$3-$E$4)/LN(($E$3-$E$5)/($E$4-$E$5)))/49.833)^$M$41</f>
        <v>1799.1208257576131</v>
      </c>
      <c r="N27" s="8"/>
      <c r="O27" s="19">
        <v>3500</v>
      </c>
      <c r="P27" s="86">
        <f>(-6.5176*($O27/1000-0.24)^2+308.96*($O27/1000-0.24)+28.516)*(ABS(($E$3-$E$4)/LN(($E$3-$E$5)/($E$4-$E$5)))/49.833)^$T$29</f>
        <v>966.45605683802069</v>
      </c>
      <c r="Q27" s="87">
        <f>(-9.4899*($O27/1000-0.24)^2+447.68*($O27/1000-0.24)+38.334+0.5)*(ABS(($E$3-$E$4)/LN(($E$3-$E$5)/($E$4-$E$5)))/49.833)^$T$32</f>
        <v>1397.41147832037</v>
      </c>
      <c r="R27" s="87">
        <f>(-9.884*($O27/1000-0.24)^2+486.55*($O27/1000-0.24)+43.325+0.5)*(ABS(($E$3-$E$4)/LN(($E$3-$E$5)/($E$4-$E$5)))/49.833)^$T$35</f>
        <v>1524.9299376021831</v>
      </c>
      <c r="S27" s="87">
        <f>(-11.943*($O27/1000-0.24)^2+602.88*($O27/1000-0.24)+52.513+0.5)*(ABS(($E$3-$E$4)/LN(($E$3-$E$5)/($E$4-$E$5)))/49.833)^$T$38</f>
        <v>1891.470310782543</v>
      </c>
      <c r="T27" s="88">
        <f>(-13.832*($O27/1000-0.24)^2+699.36*($O27/1000-0.24)+59.085+1)*(ABS(($E$3-$E$4)/LN(($E$3-$E$5)/($E$4-$E$5)))/49.833)^$T$41</f>
        <v>2192.9906199519673</v>
      </c>
    </row>
    <row r="28" spans="1:20" ht="14.45" hidden="1" x14ac:dyDescent="0.3"/>
    <row r="29" spans="1:20" ht="14.45" hidden="1" x14ac:dyDescent="0.3">
      <c r="H29" t="s">
        <v>20</v>
      </c>
      <c r="M29" s="3">
        <v>1.4043000000000001</v>
      </c>
      <c r="O29" t="s">
        <v>25</v>
      </c>
      <c r="T29" s="3">
        <v>1.4077</v>
      </c>
    </row>
    <row r="30" spans="1:20" ht="14.45" hidden="1" x14ac:dyDescent="0.3">
      <c r="A30" t="s">
        <v>15</v>
      </c>
      <c r="B30" s="3" t="s">
        <v>76</v>
      </c>
      <c r="E30" s="2" t="s">
        <v>74</v>
      </c>
      <c r="F30" s="3">
        <v>1.4114</v>
      </c>
      <c r="I30" s="3"/>
      <c r="K30" s="1"/>
      <c r="L30" s="1"/>
      <c r="P30" s="3"/>
      <c r="R30" s="1"/>
      <c r="S30" s="1"/>
    </row>
    <row r="31" spans="1:20" ht="14.45" hidden="1" x14ac:dyDescent="0.3"/>
    <row r="32" spans="1:20" ht="14.45" hidden="1" x14ac:dyDescent="0.3">
      <c r="A32" t="s">
        <v>16</v>
      </c>
      <c r="F32" s="3">
        <v>1.4056999999999999</v>
      </c>
      <c r="H32" t="s">
        <v>21</v>
      </c>
      <c r="M32" s="3">
        <v>1.4077</v>
      </c>
      <c r="O32" t="s">
        <v>26</v>
      </c>
      <c r="T32" s="3">
        <v>1.4019999999999999</v>
      </c>
    </row>
    <row r="33" spans="1:20" ht="14.45" hidden="1" x14ac:dyDescent="0.3">
      <c r="B33" s="3"/>
      <c r="D33" s="1"/>
      <c r="E33" s="1"/>
      <c r="I33" s="3"/>
      <c r="K33" s="1"/>
      <c r="L33" s="1"/>
      <c r="P33" s="3"/>
      <c r="R33" s="1"/>
      <c r="S33" s="1"/>
    </row>
    <row r="34" spans="1:20" ht="14.45" hidden="1" x14ac:dyDescent="0.3"/>
    <row r="35" spans="1:20" ht="14.45" hidden="1" x14ac:dyDescent="0.3">
      <c r="A35" t="s">
        <v>17</v>
      </c>
      <c r="F35" s="3">
        <v>1.4040999999999999</v>
      </c>
      <c r="H35" t="s">
        <v>22</v>
      </c>
      <c r="M35" s="3">
        <v>1.4034</v>
      </c>
      <c r="O35" t="s">
        <v>27</v>
      </c>
      <c r="T35" s="3">
        <v>1.401</v>
      </c>
    </row>
    <row r="36" spans="1:20" ht="14.45" hidden="1" x14ac:dyDescent="0.3">
      <c r="B36" s="3"/>
      <c r="D36" s="1"/>
      <c r="E36" s="1"/>
      <c r="I36" s="3"/>
      <c r="K36" s="1"/>
      <c r="L36" s="1"/>
      <c r="P36" s="3"/>
      <c r="R36" s="1"/>
      <c r="S36" s="1"/>
    </row>
    <row r="37" spans="1:20" ht="14.45" hidden="1" x14ac:dyDescent="0.3"/>
    <row r="38" spans="1:20" ht="14.45" hidden="1" x14ac:dyDescent="0.3">
      <c r="A38" t="s">
        <v>18</v>
      </c>
      <c r="F38" s="3">
        <v>1.4012</v>
      </c>
      <c r="H38" t="s">
        <v>23</v>
      </c>
      <c r="M38" s="3">
        <v>1.4077999999999999</v>
      </c>
      <c r="O38" t="s">
        <v>28</v>
      </c>
      <c r="T38" s="3">
        <v>1.4077999999999999</v>
      </c>
    </row>
    <row r="39" spans="1:20" ht="14.45" hidden="1" x14ac:dyDescent="0.3">
      <c r="B39" s="3"/>
      <c r="D39" s="1"/>
      <c r="E39" s="1"/>
      <c r="I39" s="3"/>
      <c r="K39" s="1"/>
      <c r="L39" s="1"/>
      <c r="P39" s="3"/>
      <c r="R39" s="1"/>
      <c r="S39" s="1"/>
    </row>
    <row r="40" spans="1:20" ht="14.45" hidden="1" x14ac:dyDescent="0.3"/>
    <row r="41" spans="1:20" ht="14.45" hidden="1" x14ac:dyDescent="0.3">
      <c r="A41" t="s">
        <v>19</v>
      </c>
      <c r="F41" s="3">
        <v>1.4049</v>
      </c>
      <c r="H41" t="s">
        <v>24</v>
      </c>
      <c r="M41" s="3">
        <v>1.4058999999999999</v>
      </c>
      <c r="O41" t="s">
        <v>29</v>
      </c>
      <c r="T41" s="3">
        <v>1.4054</v>
      </c>
    </row>
    <row r="42" spans="1:20" ht="14.45" hidden="1" x14ac:dyDescent="0.3">
      <c r="B42" s="3"/>
      <c r="D42" s="1"/>
      <c r="E42" s="1"/>
      <c r="I42" s="3"/>
      <c r="K42" s="1"/>
      <c r="L42" s="1"/>
      <c r="P42" s="3"/>
      <c r="R42" s="1"/>
      <c r="S42" s="1"/>
    </row>
    <row r="43" spans="1:20" ht="14.45" hidden="1" x14ac:dyDescent="0.3"/>
    <row r="44" spans="1:20" ht="15.6" hidden="1" x14ac:dyDescent="0.35">
      <c r="A44" s="2" t="s">
        <v>30</v>
      </c>
      <c r="B44">
        <v>0.24</v>
      </c>
      <c r="H44" s="2" t="s">
        <v>30</v>
      </c>
      <c r="I44">
        <v>0.24</v>
      </c>
      <c r="O44" s="2" t="s">
        <v>30</v>
      </c>
      <c r="P44">
        <v>0.24</v>
      </c>
    </row>
    <row r="45" spans="1:20" ht="14.45" hidden="1" x14ac:dyDescent="0.3"/>
    <row r="46" spans="1:20" ht="14.45" hidden="1" x14ac:dyDescent="0.3">
      <c r="A46" s="2" t="s">
        <v>32</v>
      </c>
      <c r="B46">
        <v>15</v>
      </c>
      <c r="H46" s="2" t="s">
        <v>32</v>
      </c>
      <c r="I46">
        <v>15</v>
      </c>
      <c r="K46" s="75" t="s">
        <v>73</v>
      </c>
      <c r="L46" s="75">
        <v>11</v>
      </c>
      <c r="O46" s="2" t="s">
        <v>32</v>
      </c>
      <c r="P46">
        <v>15</v>
      </c>
    </row>
    <row r="47" spans="1:20" ht="14.45" hidden="1" x14ac:dyDescent="0.3"/>
    <row r="48" spans="1:20" ht="14.45" hidden="1" x14ac:dyDescent="0.3">
      <c r="A48" t="s">
        <v>47</v>
      </c>
      <c r="D48">
        <v>1</v>
      </c>
      <c r="H48" t="s">
        <v>47</v>
      </c>
      <c r="K48">
        <v>1</v>
      </c>
      <c r="O48" t="s">
        <v>47</v>
      </c>
      <c r="R48">
        <v>1</v>
      </c>
    </row>
    <row r="49" spans="8:10" ht="14.45" hidden="1" x14ac:dyDescent="0.3"/>
    <row r="50" spans="8:10" ht="14.45" hidden="1" x14ac:dyDescent="0.3">
      <c r="H50" s="22" t="s">
        <v>33</v>
      </c>
    </row>
    <row r="51" spans="8:10" ht="14.45" hidden="1" x14ac:dyDescent="0.3"/>
    <row r="52" spans="8:10" ht="14.45" hidden="1" x14ac:dyDescent="0.3">
      <c r="H52" s="29" t="s">
        <v>39</v>
      </c>
      <c r="I52" s="28"/>
      <c r="J52" s="29" t="s">
        <v>31</v>
      </c>
    </row>
    <row r="53" spans="8:10" ht="14.45" hidden="1" x14ac:dyDescent="0.3"/>
    <row r="54" spans="8:10" ht="14.45" hidden="1" x14ac:dyDescent="0.3">
      <c r="H54" s="29" t="s">
        <v>40</v>
      </c>
      <c r="J54" s="29" t="s">
        <v>34</v>
      </c>
    </row>
    <row r="55" spans="8:10" ht="14.45" hidden="1" x14ac:dyDescent="0.3"/>
    <row r="56" spans="8:10" ht="14.45" hidden="1" x14ac:dyDescent="0.3">
      <c r="H56" s="29" t="s">
        <v>41</v>
      </c>
      <c r="J56" s="29" t="s">
        <v>35</v>
      </c>
    </row>
    <row r="57" spans="8:10" ht="14.45" hidden="1" x14ac:dyDescent="0.3"/>
    <row r="58" spans="8:10" ht="14.45" hidden="1" x14ac:dyDescent="0.3">
      <c r="H58" s="29" t="s">
        <v>42</v>
      </c>
      <c r="J58" s="29" t="s">
        <v>36</v>
      </c>
    </row>
    <row r="59" spans="8:10" ht="14.45" hidden="1" x14ac:dyDescent="0.3"/>
    <row r="60" spans="8:10" ht="14.45" hidden="1" x14ac:dyDescent="0.3">
      <c r="H60" s="29" t="s">
        <v>43</v>
      </c>
      <c r="J60" s="29" t="s">
        <v>37</v>
      </c>
    </row>
    <row r="61" spans="8:10" ht="14.45" hidden="1" x14ac:dyDescent="0.3"/>
    <row r="62" spans="8:10" ht="14.45" hidden="1" x14ac:dyDescent="0.3">
      <c r="H62" s="29" t="s">
        <v>44</v>
      </c>
      <c r="J62" s="29" t="s">
        <v>38</v>
      </c>
    </row>
    <row r="63" spans="8:10" ht="14.45" hidden="1" x14ac:dyDescent="0.3">
      <c r="H63" s="29"/>
      <c r="J63" s="29"/>
    </row>
    <row r="64" spans="8:10" ht="14.45" hidden="1" x14ac:dyDescent="0.3">
      <c r="H64" s="29"/>
      <c r="J64" s="29"/>
    </row>
    <row r="65" spans="1:20" ht="14.45" hidden="1" x14ac:dyDescent="0.3">
      <c r="A65" t="s">
        <v>49</v>
      </c>
      <c r="H65" t="s">
        <v>49</v>
      </c>
      <c r="J65" s="29"/>
      <c r="O65" t="s">
        <v>49</v>
      </c>
    </row>
    <row r="66" spans="1:20" ht="18" hidden="1" x14ac:dyDescent="0.35">
      <c r="A66" s="27" t="s">
        <v>3</v>
      </c>
      <c r="B66" s="8"/>
      <c r="C66" s="8"/>
      <c r="D66" s="8"/>
      <c r="E66" s="8"/>
      <c r="F66" s="8"/>
      <c r="G66" s="8"/>
      <c r="H66" s="27" t="s">
        <v>5</v>
      </c>
      <c r="I66" s="8"/>
      <c r="J66" s="8"/>
      <c r="K66" s="8"/>
      <c r="L66" s="8"/>
      <c r="M66" s="8"/>
      <c r="N66" s="8"/>
      <c r="O66" s="27" t="s">
        <v>6</v>
      </c>
      <c r="P66" s="8"/>
      <c r="Q66" s="8"/>
      <c r="R66" s="8"/>
      <c r="S66" s="8"/>
      <c r="T66" s="8"/>
    </row>
    <row r="67" spans="1:20" ht="18" hidden="1" x14ac:dyDescent="0.35">
      <c r="A67" s="9" t="s">
        <v>1</v>
      </c>
      <c r="B67" s="9"/>
      <c r="C67" s="10"/>
      <c r="D67" s="10" t="s">
        <v>4</v>
      </c>
      <c r="E67" s="10"/>
      <c r="F67" s="11"/>
      <c r="G67" s="12"/>
      <c r="H67" s="25" t="s">
        <v>1</v>
      </c>
      <c r="I67" s="14"/>
      <c r="J67" s="14"/>
      <c r="K67" s="10" t="s">
        <v>4</v>
      </c>
      <c r="L67" s="14"/>
      <c r="M67" s="15"/>
      <c r="N67" s="8"/>
      <c r="O67" s="25" t="s">
        <v>1</v>
      </c>
      <c r="P67" s="14"/>
      <c r="Q67" s="14"/>
      <c r="R67" s="10" t="s">
        <v>4</v>
      </c>
      <c r="S67" s="14"/>
      <c r="T67" s="15"/>
    </row>
    <row r="68" spans="1:20" ht="18" hidden="1" x14ac:dyDescent="0.35">
      <c r="A68" s="24" t="s">
        <v>2</v>
      </c>
      <c r="B68" s="16">
        <v>180</v>
      </c>
      <c r="C68" s="17">
        <v>260</v>
      </c>
      <c r="D68" s="17">
        <v>290</v>
      </c>
      <c r="E68" s="17">
        <v>340</v>
      </c>
      <c r="F68" s="18">
        <v>420</v>
      </c>
      <c r="G68" s="12"/>
      <c r="H68" s="26" t="s">
        <v>2</v>
      </c>
      <c r="I68" s="17">
        <v>180</v>
      </c>
      <c r="J68" s="17">
        <v>260</v>
      </c>
      <c r="K68" s="17">
        <v>290</v>
      </c>
      <c r="L68" s="17">
        <v>340</v>
      </c>
      <c r="M68" s="18">
        <v>420</v>
      </c>
      <c r="N68" s="8"/>
      <c r="O68" s="26" t="s">
        <v>2</v>
      </c>
      <c r="P68" s="17">
        <v>180</v>
      </c>
      <c r="Q68" s="17">
        <v>260</v>
      </c>
      <c r="R68" s="17">
        <v>290</v>
      </c>
      <c r="S68" s="17">
        <v>340</v>
      </c>
      <c r="T68" s="18">
        <v>420</v>
      </c>
    </row>
    <row r="69" spans="1:20" ht="18" hidden="1" x14ac:dyDescent="0.35">
      <c r="A69" s="13">
        <v>1000</v>
      </c>
      <c r="B69" s="30">
        <f t="shared" ref="B69:F78" si="0">ABS((B12/($E$3-$E$4)/1.163)*4/(3.143*$B$46^2)/3.6)*($B$46/1000)/(0.000001*(-0.000001568*(ABS($E$3+$E$4)/2)^3+0.0003846*(ABS($E$3+$E$4)/2)^2-0.03584*(ABS($E$3+$E$4)/2)+1.577))+0.1663</f>
        <v>1020.7279587680412</v>
      </c>
      <c r="C69" s="31">
        <f t="shared" si="0"/>
        <v>1301.6580134381013</v>
      </c>
      <c r="D69" s="31">
        <f t="shared" si="0"/>
        <v>1332.2872170382741</v>
      </c>
      <c r="E69" s="31">
        <f>ABS((E12/($E$3-$E$4)/1.163)*4/(3.143*15^2)/3.6)*(15/1000)/(0.000001*(-0.000001568*(ABS($E$3+$E$4)/2)^3+0.0003846*(ABS($E$3+$E$4)/2)^2-0.03584*(ABS($E$3+$E$4)/2)+1.577))+0.1663</f>
        <v>1673.0144120693014</v>
      </c>
      <c r="F69" s="32">
        <f t="shared" si="0"/>
        <v>2057.2633433603378</v>
      </c>
      <c r="G69" s="20"/>
      <c r="H69" s="21">
        <v>1000</v>
      </c>
      <c r="I69" s="30">
        <f t="shared" ref="I69:M78" si="1">ABS((I12/($E$3-$E$4)/1.163)*4/(3.143*$I$46^2)/3.6)*($I$46/1000)/(0.000001*(-0.000001568*(($E$3+$E$4)/2)^3+0.0003846*(($E$3+$E$4)/2)^2-0.03584*(($E$3+$E$4)/2)+1.577))+0.1663</f>
        <v>1160.068627134988</v>
      </c>
      <c r="J69" s="31">
        <f t="shared" si="1"/>
        <v>1507.4476621290739</v>
      </c>
      <c r="K69" s="31">
        <f t="shared" si="1"/>
        <v>1657.3457809539527</v>
      </c>
      <c r="L69" s="31">
        <f>ABS((L12/($E$3-$E$4)/1.163)*4/(3.143*11^2)/3.6)*(11/1000)/(0.000001*(-0.000001568*(($E$3+$E$4)/2)^3+0.0003846*(($E$3+$E$4)/2)^2-0.03584*(($E$3+$E$4)/2)+1.577))+0.1663</f>
        <v>2572.5982081118073</v>
      </c>
      <c r="M69" s="32">
        <f t="shared" si="1"/>
        <v>2333.9785427120742</v>
      </c>
      <c r="N69" s="8"/>
      <c r="O69" s="13">
        <v>1000</v>
      </c>
      <c r="P69" s="30">
        <f t="shared" ref="P69:T78" si="2">ABS((P12/($E$3-$E$4)/1.163)*4/(3.143*$P$46^2)/3.6)*($P$46/1000)/(0.000001*(-0.000001568*(($E$3+$E$4)/2)^3+0.0003846*(($E$3+$E$4)/2)^2-0.03584*(($E$3+$E$4)/2)+1.577))+0.1663</f>
        <v>1265.4346847816398</v>
      </c>
      <c r="Q69" s="31">
        <f t="shared" si="2"/>
        <v>1819.913675520957</v>
      </c>
      <c r="R69" s="31">
        <f t="shared" si="2"/>
        <v>1982.5750290373869</v>
      </c>
      <c r="S69" s="31">
        <f t="shared" si="2"/>
        <v>2455.886448664156</v>
      </c>
      <c r="T69" s="32">
        <f t="shared" si="2"/>
        <v>2840.777917383155</v>
      </c>
    </row>
    <row r="70" spans="1:20" ht="18" hidden="1" x14ac:dyDescent="0.35">
      <c r="A70" s="21">
        <v>1100</v>
      </c>
      <c r="B70" s="33">
        <f t="shared" si="0"/>
        <v>1144.1849368844607</v>
      </c>
      <c r="C70" s="34">
        <f t="shared" si="0"/>
        <v>1453.8448510196963</v>
      </c>
      <c r="D70" s="34">
        <f t="shared" si="0"/>
        <v>1488.3711688385106</v>
      </c>
      <c r="E70" s="34">
        <f t="shared" ref="E70:E84" si="3">ABS((E13/($E$3-$E$4)/1.163)*4/(3.143*15^2)/3.6)*(15/1000)/(0.000001*(-0.000001568*(ABS($E$3+$E$4)/2)^3+0.0003846*(ABS($E$3+$E$4)/2)^2-0.03584*(ABS($E$3+$E$4)/2)+1.577))+0.1663</f>
        <v>1869.2148469438073</v>
      </c>
      <c r="F70" s="35">
        <f t="shared" si="0"/>
        <v>2301.8951678900357</v>
      </c>
      <c r="G70" s="20"/>
      <c r="H70" s="21">
        <v>1100</v>
      </c>
      <c r="I70" s="33">
        <f t="shared" si="1"/>
        <v>1296.1007922628135</v>
      </c>
      <c r="J70" s="34">
        <f t="shared" si="1"/>
        <v>1683.8737981791514</v>
      </c>
      <c r="K70" s="34">
        <f t="shared" si="1"/>
        <v>1853.9340928361421</v>
      </c>
      <c r="L70" s="34">
        <f t="shared" ref="L70:L84" si="4">ABS((L13/($E$3-$E$4)/1.163)*4/(3.143*11^2)/3.6)*(11/1000)/(0.000001*(-0.000001568*(($E$3+$E$4)/2)^3+0.0003846*(($E$3+$E$4)/2)^2-0.03584*(($E$3+$E$4)/2)+1.577))+0.1663</f>
        <v>2874.8420155114636</v>
      </c>
      <c r="M70" s="35">
        <f t="shared" si="1"/>
        <v>2610.4296346248711</v>
      </c>
      <c r="N70" s="8"/>
      <c r="O70" s="21">
        <v>1100</v>
      </c>
      <c r="P70" s="33">
        <f t="shared" si="2"/>
        <v>1413.6176455222615</v>
      </c>
      <c r="Q70" s="34">
        <f t="shared" si="2"/>
        <v>2033.4965183078293</v>
      </c>
      <c r="R70" s="34">
        <f t="shared" si="2"/>
        <v>2214.8303764631178</v>
      </c>
      <c r="S70" s="34">
        <f t="shared" si="2"/>
        <v>2745.7709182369786</v>
      </c>
      <c r="T70" s="35">
        <f t="shared" si="2"/>
        <v>3176.2891443056865</v>
      </c>
    </row>
    <row r="71" spans="1:20" ht="18" hidden="1" x14ac:dyDescent="0.35">
      <c r="A71" s="21">
        <v>1200</v>
      </c>
      <c r="B71" s="33">
        <f t="shared" si="0"/>
        <v>1262.1883888071245</v>
      </c>
      <c r="C71" s="34">
        <f t="shared" si="0"/>
        <v>1602.9456494847029</v>
      </c>
      <c r="D71" s="34">
        <f t="shared" si="0"/>
        <v>1641.3388882815809</v>
      </c>
      <c r="E71" s="34">
        <f t="shared" si="3"/>
        <v>2067.0153373895855</v>
      </c>
      <c r="F71" s="35">
        <f t="shared" si="0"/>
        <v>2545.4451741916942</v>
      </c>
      <c r="G71" s="20"/>
      <c r="H71" s="21">
        <v>1200</v>
      </c>
      <c r="I71" s="33">
        <f t="shared" si="1"/>
        <v>1431.5524776605498</v>
      </c>
      <c r="J71" s="34">
        <f t="shared" si="1"/>
        <v>1859.561826506932</v>
      </c>
      <c r="K71" s="34">
        <f t="shared" si="1"/>
        <v>2047.2736288655767</v>
      </c>
      <c r="L71" s="34">
        <f t="shared" si="4"/>
        <v>3179.214942402989</v>
      </c>
      <c r="M71" s="35">
        <f t="shared" si="1"/>
        <v>2883.3025700210897</v>
      </c>
      <c r="N71" s="8"/>
      <c r="O71" s="21">
        <v>1200</v>
      </c>
      <c r="P71" s="33">
        <f t="shared" si="2"/>
        <v>1561.1639599027803</v>
      </c>
      <c r="Q71" s="34">
        <f t="shared" si="2"/>
        <v>2243.7103495597462</v>
      </c>
      <c r="R71" s="34">
        <f t="shared" si="2"/>
        <v>2448.5622714717147</v>
      </c>
      <c r="S71" s="34">
        <f t="shared" si="2"/>
        <v>3032.0467548044185</v>
      </c>
      <c r="T71" s="35">
        <f t="shared" si="2"/>
        <v>3510.4492461976793</v>
      </c>
    </row>
    <row r="72" spans="1:20" ht="18" hidden="1" x14ac:dyDescent="0.35">
      <c r="A72" s="21">
        <v>1300</v>
      </c>
      <c r="B72" s="36">
        <f t="shared" si="0"/>
        <v>1382.0643972360135</v>
      </c>
      <c r="C72" s="37">
        <f t="shared" si="0"/>
        <v>1751.4024364314726</v>
      </c>
      <c r="D72" s="37">
        <f t="shared" si="0"/>
        <v>1798.5164581892259</v>
      </c>
      <c r="E72" s="37">
        <f t="shared" si="3"/>
        <v>2259.0898005365293</v>
      </c>
      <c r="F72" s="38">
        <f t="shared" si="0"/>
        <v>2783.0293070597145</v>
      </c>
      <c r="G72" s="20"/>
      <c r="H72" s="21">
        <v>1300</v>
      </c>
      <c r="I72" s="36">
        <f t="shared" si="1"/>
        <v>1568.865710934333</v>
      </c>
      <c r="J72" s="37">
        <f t="shared" si="1"/>
        <v>2032.0697195251864</v>
      </c>
      <c r="K72" s="37">
        <f t="shared" si="1"/>
        <v>2239.8064166533964</v>
      </c>
      <c r="L72" s="37">
        <f t="shared" si="4"/>
        <v>3475.7268759318026</v>
      </c>
      <c r="M72" s="38">
        <f t="shared" si="1"/>
        <v>3155.0393764979694</v>
      </c>
      <c r="N72" s="8"/>
      <c r="O72" s="21">
        <v>1300</v>
      </c>
      <c r="P72" s="33">
        <f t="shared" si="2"/>
        <v>1703.1895727487351</v>
      </c>
      <c r="Q72" s="34">
        <f t="shared" si="2"/>
        <v>2457.8812521334767</v>
      </c>
      <c r="R72" s="34">
        <f t="shared" si="2"/>
        <v>2676.444631189735</v>
      </c>
      <c r="S72" s="34">
        <f t="shared" si="2"/>
        <v>3317.155985953153</v>
      </c>
      <c r="T72" s="35">
        <f t="shared" si="2"/>
        <v>3843.2582230591343</v>
      </c>
    </row>
    <row r="73" spans="1:20" ht="18" hidden="1" x14ac:dyDescent="0.35">
      <c r="A73" s="13">
        <v>1400</v>
      </c>
      <c r="B73" s="30">
        <f t="shared" si="0"/>
        <v>1496.4868794711463</v>
      </c>
      <c r="C73" s="31">
        <f t="shared" si="0"/>
        <v>1904.0992670567075</v>
      </c>
      <c r="D73" s="31">
        <f t="shared" si="0"/>
        <v>1947.6937405252118</v>
      </c>
      <c r="E73" s="31">
        <f t="shared" si="3"/>
        <v>2450.3222916313766</v>
      </c>
      <c r="F73" s="32">
        <f t="shared" si="0"/>
        <v>3021.973649302493</v>
      </c>
      <c r="G73" s="20"/>
      <c r="H73" s="13">
        <v>1400</v>
      </c>
      <c r="I73" s="30">
        <f t="shared" si="1"/>
        <v>1698.2723816596224</v>
      </c>
      <c r="J73" s="31">
        <f t="shared" si="1"/>
        <v>2206.2815324083758</v>
      </c>
      <c r="K73" s="31">
        <f t="shared" si="1"/>
        <v>2429.0904285884612</v>
      </c>
      <c r="L73" s="31">
        <f t="shared" si="4"/>
        <v>3777.6979665706785</v>
      </c>
      <c r="M73" s="32">
        <f t="shared" si="1"/>
        <v>3425.6400540555092</v>
      </c>
      <c r="N73" s="8"/>
      <c r="O73" s="19">
        <v>1400</v>
      </c>
      <c r="P73" s="36">
        <f t="shared" si="2"/>
        <v>1847.0205668218198</v>
      </c>
      <c r="Q73" s="37">
        <f t="shared" si="2"/>
        <v>2666.2411155533287</v>
      </c>
      <c r="R73" s="37">
        <f t="shared" si="2"/>
        <v>2908.2455661151021</v>
      </c>
      <c r="S73" s="37">
        <f t="shared" si="2"/>
        <v>3598.6565840965045</v>
      </c>
      <c r="T73" s="38">
        <f t="shared" si="2"/>
        <v>4167.3899920899921</v>
      </c>
    </row>
    <row r="74" spans="1:20" ht="18" hidden="1" x14ac:dyDescent="0.35">
      <c r="A74" s="21">
        <v>1500</v>
      </c>
      <c r="B74" s="33">
        <f t="shared" si="0"/>
        <v>1612.7819182125052</v>
      </c>
      <c r="C74" s="34">
        <f t="shared" si="0"/>
        <v>2046.3839757703004</v>
      </c>
      <c r="D74" s="34">
        <f t="shared" si="0"/>
        <v>2101.0808733257713</v>
      </c>
      <c r="E74" s="34">
        <f t="shared" si="3"/>
        <v>2643.1548382974975</v>
      </c>
      <c r="F74" s="35">
        <f t="shared" si="0"/>
        <v>3254.9521181116347</v>
      </c>
      <c r="G74" s="20"/>
      <c r="H74" s="21">
        <v>1500</v>
      </c>
      <c r="I74" s="33">
        <f t="shared" si="1"/>
        <v>1829.5406002609582</v>
      </c>
      <c r="J74" s="34">
        <f t="shared" si="1"/>
        <v>2374.8711823948061</v>
      </c>
      <c r="K74" s="34">
        <f t="shared" si="1"/>
        <v>2620.0097198930498</v>
      </c>
      <c r="L74" s="34">
        <f t="shared" si="4"/>
        <v>4068.4780262286495</v>
      </c>
      <c r="M74" s="35">
        <f t="shared" si="1"/>
        <v>3692.6625750964695</v>
      </c>
      <c r="N74" s="8"/>
      <c r="O74" s="21">
        <v>1500</v>
      </c>
      <c r="P74" s="33">
        <f t="shared" si="2"/>
        <v>1992.6569421220345</v>
      </c>
      <c r="Q74" s="34">
        <f t="shared" si="2"/>
        <v>2873.6739950571482</v>
      </c>
      <c r="R74" s="34">
        <f t="shared" si="2"/>
        <v>3131.7549381254089</v>
      </c>
      <c r="S74" s="34">
        <f t="shared" si="2"/>
        <v>3878.9905768211484</v>
      </c>
      <c r="T74" s="35">
        <f t="shared" si="2"/>
        <v>4495.0546912903519</v>
      </c>
    </row>
    <row r="75" spans="1:20" ht="18" hidden="1" x14ac:dyDescent="0.35">
      <c r="A75" s="21">
        <v>1700</v>
      </c>
      <c r="B75" s="33">
        <f t="shared" si="0"/>
        <v>1843.6635825139174</v>
      </c>
      <c r="C75" s="34">
        <f t="shared" si="0"/>
        <v>2341.2314966345302</v>
      </c>
      <c r="D75" s="34">
        <f t="shared" si="0"/>
        <v>2400.9484694626403</v>
      </c>
      <c r="E75" s="34">
        <f t="shared" si="3"/>
        <v>3018.9679326033433</v>
      </c>
      <c r="F75" s="35">
        <f t="shared" si="0"/>
        <v>3722.5476562513954</v>
      </c>
      <c r="G75" s="20"/>
      <c r="H75" s="21">
        <v>1700</v>
      </c>
      <c r="I75" s="33">
        <f t="shared" si="1"/>
        <v>2087.8935706672291</v>
      </c>
      <c r="J75" s="34">
        <f t="shared" si="1"/>
        <v>2719.6042695497058</v>
      </c>
      <c r="K75" s="34">
        <f t="shared" si="1"/>
        <v>2994.544002555102</v>
      </c>
      <c r="L75" s="34">
        <f t="shared" si="4"/>
        <v>4653.0954664020028</v>
      </c>
      <c r="M75" s="35">
        <f t="shared" si="1"/>
        <v>4223.2992304203744</v>
      </c>
      <c r="N75" s="8"/>
      <c r="O75" s="21">
        <v>1700</v>
      </c>
      <c r="P75" s="33">
        <f t="shared" si="2"/>
        <v>2277.1356984676959</v>
      </c>
      <c r="Q75" s="34">
        <f t="shared" si="2"/>
        <v>3285.7588023166927</v>
      </c>
      <c r="R75" s="34">
        <f t="shared" si="2"/>
        <v>3580.7612972701399</v>
      </c>
      <c r="S75" s="34">
        <f t="shared" si="2"/>
        <v>4436.1587460143182</v>
      </c>
      <c r="T75" s="35">
        <f t="shared" si="2"/>
        <v>5141.4466593994139</v>
      </c>
    </row>
    <row r="76" spans="1:20" ht="18" hidden="1" x14ac:dyDescent="0.35">
      <c r="A76" s="19">
        <v>1900</v>
      </c>
      <c r="B76" s="36">
        <f t="shared" si="0"/>
        <v>2067.3833074402687</v>
      </c>
      <c r="C76" s="37">
        <f t="shared" si="0"/>
        <v>2628.6189162291103</v>
      </c>
      <c r="D76" s="37">
        <f t="shared" si="0"/>
        <v>2695.6772189925869</v>
      </c>
      <c r="E76" s="37">
        <f t="shared" si="3"/>
        <v>3393.8551663241738</v>
      </c>
      <c r="F76" s="38">
        <f t="shared" si="0"/>
        <v>4180.9318662733976</v>
      </c>
      <c r="G76" s="20"/>
      <c r="H76" s="19">
        <v>1900</v>
      </c>
      <c r="I76" s="36">
        <f t="shared" si="1"/>
        <v>2346.3666497592808</v>
      </c>
      <c r="J76" s="37">
        <f t="shared" si="1"/>
        <v>3054.0588430537273</v>
      </c>
      <c r="K76" s="37">
        <f t="shared" si="1"/>
        <v>3363.4092646395525</v>
      </c>
      <c r="L76" s="37">
        <f t="shared" si="4"/>
        <v>5232.909234070059</v>
      </c>
      <c r="M76" s="38">
        <f t="shared" si="1"/>
        <v>4749.3913700669191</v>
      </c>
      <c r="N76" s="8"/>
      <c r="O76" s="21">
        <v>1900</v>
      </c>
      <c r="P76" s="33">
        <f t="shared" si="2"/>
        <v>2556.6258417857184</v>
      </c>
      <c r="Q76" s="34">
        <f t="shared" si="2"/>
        <v>3694.1356739121074</v>
      </c>
      <c r="R76" s="34">
        <f t="shared" si="2"/>
        <v>4023.46370862393</v>
      </c>
      <c r="S76" s="34">
        <f t="shared" si="2"/>
        <v>4983.7764383593103</v>
      </c>
      <c r="T76" s="35">
        <f t="shared" si="2"/>
        <v>5777.5500721862863</v>
      </c>
    </row>
    <row r="77" spans="1:20" ht="18" hidden="1" x14ac:dyDescent="0.35">
      <c r="A77" s="21">
        <v>2100</v>
      </c>
      <c r="B77" s="30">
        <f t="shared" si="0"/>
        <v>2293.7092032582013</v>
      </c>
      <c r="C77" s="31">
        <f t="shared" si="0"/>
        <v>2915.872317349093</v>
      </c>
      <c r="D77" s="31">
        <f t="shared" si="0"/>
        <v>2987.7091495228569</v>
      </c>
      <c r="E77" s="31">
        <f t="shared" si="3"/>
        <v>3765.3745118366214</v>
      </c>
      <c r="F77" s="32">
        <f t="shared" si="0"/>
        <v>4639.8728585888421</v>
      </c>
      <c r="G77" s="20"/>
      <c r="H77" s="21">
        <v>2100</v>
      </c>
      <c r="I77" s="30">
        <f t="shared" si="1"/>
        <v>2600.0757823248432</v>
      </c>
      <c r="J77" s="31">
        <f t="shared" si="1"/>
        <v>3385.5609856685642</v>
      </c>
      <c r="K77" s="31">
        <f t="shared" si="1"/>
        <v>3726.6055061464035</v>
      </c>
      <c r="L77" s="31">
        <f t="shared" si="4"/>
        <v>5804.5892916146249</v>
      </c>
      <c r="M77" s="32">
        <f t="shared" si="1"/>
        <v>5263.6129112443914</v>
      </c>
      <c r="N77" s="8"/>
      <c r="O77" s="21">
        <v>2100</v>
      </c>
      <c r="P77" s="33">
        <f t="shared" si="2"/>
        <v>2836.0114272505666</v>
      </c>
      <c r="Q77" s="34">
        <f t="shared" si="2"/>
        <v>4093.9205546055482</v>
      </c>
      <c r="R77" s="34">
        <f t="shared" si="2"/>
        <v>4462.3041998112585</v>
      </c>
      <c r="S77" s="34">
        <f t="shared" si="2"/>
        <v>5534.0537917895026</v>
      </c>
      <c r="T77" s="35">
        <f t="shared" si="2"/>
        <v>6408.248984851004</v>
      </c>
    </row>
    <row r="78" spans="1:20" ht="18" hidden="1" x14ac:dyDescent="0.35">
      <c r="A78" s="21">
        <v>2300</v>
      </c>
      <c r="B78" s="33">
        <f t="shared" si="0"/>
        <v>2517.7572148343947</v>
      </c>
      <c r="C78" s="34">
        <f t="shared" si="0"/>
        <v>3198.1076447977744</v>
      </c>
      <c r="D78" s="34">
        <f t="shared" si="0"/>
        <v>3279.486288660697</v>
      </c>
      <c r="E78" s="34">
        <f t="shared" si="3"/>
        <v>4126.1998862705732</v>
      </c>
      <c r="F78" s="35">
        <f t="shared" si="0"/>
        <v>5089.6025227865257</v>
      </c>
      <c r="G78" s="20"/>
      <c r="H78" s="21">
        <v>2300</v>
      </c>
      <c r="I78" s="33">
        <f t="shared" si="1"/>
        <v>2851.4629959700501</v>
      </c>
      <c r="J78" s="34">
        <f t="shared" si="1"/>
        <v>3716.552724981449</v>
      </c>
      <c r="K78" s="34">
        <f t="shared" si="1"/>
        <v>4089.0167822979279</v>
      </c>
      <c r="L78" s="34">
        <f t="shared" si="4"/>
        <v>6371.4656766538883</v>
      </c>
      <c r="M78" s="35">
        <f t="shared" si="1"/>
        <v>5778.1739919389793</v>
      </c>
      <c r="N78" s="8"/>
      <c r="O78" s="21">
        <v>2300</v>
      </c>
      <c r="P78" s="33">
        <f t="shared" si="2"/>
        <v>3112.8504272750079</v>
      </c>
      <c r="Q78" s="34">
        <f t="shared" si="2"/>
        <v>4489.9974996348583</v>
      </c>
      <c r="R78" s="34">
        <f t="shared" si="2"/>
        <v>4897.2827708321247</v>
      </c>
      <c r="S78" s="34">
        <f t="shared" si="2"/>
        <v>6074.7806683715171</v>
      </c>
      <c r="T78" s="35">
        <f t="shared" si="2"/>
        <v>7038.4274525936044</v>
      </c>
    </row>
    <row r="79" spans="1:20" ht="18" hidden="1" x14ac:dyDescent="0.35">
      <c r="A79" s="21">
        <v>2500</v>
      </c>
      <c r="B79" s="33">
        <f t="shared" ref="B79:F84" si="5">ABS((B22/($E$3-$E$4)/1.163)*4/(3.143*$B$46^2)/3.6)*($B$46/1000)/(0.000001*(-0.000001568*(ABS($E$3+$E$4)/2)^3+0.0003846*(ABS($E$3+$E$4)/2)^2-0.03584*(ABS($E$3+$E$4)/2)+1.577))+0.1663</f>
        <v>2734.6432870355266</v>
      </c>
      <c r="C79" s="34">
        <f t="shared" si="5"/>
        <v>3482.65098137021</v>
      </c>
      <c r="D79" s="34">
        <f t="shared" si="5"/>
        <v>3566.1245811916151</v>
      </c>
      <c r="E79" s="34">
        <f t="shared" si="3"/>
        <v>4490.9834553662531</v>
      </c>
      <c r="F79" s="35">
        <f t="shared" si="5"/>
        <v>5542.3309968804488</v>
      </c>
      <c r="G79" s="20"/>
      <c r="H79" s="21">
        <v>2500</v>
      </c>
      <c r="I79" s="33">
        <f t="shared" ref="I79:M84" si="6">ABS((I22/($E$3-$E$4)/1.163)*4/(3.143*$I$46^2)/3.6)*($I$46/1000)/(0.000001*(-0.000001568*(($E$3+$E$4)/2)^3+0.0003846*(($E$3+$E$4)/2)^2-0.03584*(($E$3+$E$4)/2)+1.577))+0.1663</f>
        <v>3102.9703183010379</v>
      </c>
      <c r="J79" s="34">
        <f t="shared" si="6"/>
        <v>4044.5920334051521</v>
      </c>
      <c r="K79" s="34">
        <f t="shared" si="6"/>
        <v>4450.6430930941278</v>
      </c>
      <c r="L79" s="34">
        <f t="shared" si="4"/>
        <v>6930.208351569665</v>
      </c>
      <c r="M79" s="35">
        <f t="shared" si="6"/>
        <v>6288.1905569562123</v>
      </c>
      <c r="N79" s="8"/>
      <c r="O79" s="21">
        <v>2500</v>
      </c>
      <c r="P79" s="33">
        <f t="shared" ref="P79:T84" si="7">ABS((P22/($E$3-$E$4)/1.163)*4/(3.143*$P$46^2)/3.6)*($P$46/1000)/(0.000001*(-0.000001568*(($E$3+$E$4)/2)^3+0.0003846*(($E$3+$E$4)/2)^2-0.03584*(($E$3+$E$4)/2)+1.577))+0.1663</f>
        <v>3382.2587866845811</v>
      </c>
      <c r="Q79" s="34">
        <f t="shared" si="7"/>
        <v>4889.6925918568058</v>
      </c>
      <c r="R79" s="34">
        <f t="shared" si="7"/>
        <v>5330.841449311014</v>
      </c>
      <c r="S79" s="34">
        <f t="shared" si="7"/>
        <v>6608.3990956920279</v>
      </c>
      <c r="T79" s="35">
        <f t="shared" si="7"/>
        <v>7658.3173650140134</v>
      </c>
    </row>
    <row r="80" spans="1:20" ht="18" hidden="1" x14ac:dyDescent="0.35">
      <c r="A80" s="21">
        <v>2700</v>
      </c>
      <c r="B80" s="36">
        <f t="shared" si="5"/>
        <v>2954.1355301282401</v>
      </c>
      <c r="C80" s="37">
        <f t="shared" si="5"/>
        <v>3759.7342166729973</v>
      </c>
      <c r="D80" s="37">
        <f t="shared" si="5"/>
        <v>3852.5080823301028</v>
      </c>
      <c r="E80" s="37">
        <f t="shared" si="3"/>
        <v>4852.399136253548</v>
      </c>
      <c r="F80" s="38">
        <f t="shared" si="5"/>
        <v>5988.2901704594124</v>
      </c>
      <c r="G80" s="20"/>
      <c r="H80" s="21">
        <v>2700</v>
      </c>
      <c r="I80" s="36">
        <f t="shared" si="6"/>
        <v>3349.7136941055364</v>
      </c>
      <c r="J80" s="37">
        <f t="shared" si="6"/>
        <v>4367.2368833524388</v>
      </c>
      <c r="K80" s="37">
        <f t="shared" si="6"/>
        <v>4806.6003833127288</v>
      </c>
      <c r="L80" s="37">
        <f t="shared" si="4"/>
        <v>7490.8074292165293</v>
      </c>
      <c r="M80" s="38">
        <f t="shared" si="6"/>
        <v>6796.1046338933274</v>
      </c>
      <c r="N80" s="8"/>
      <c r="O80" s="21">
        <v>2700</v>
      </c>
      <c r="P80" s="33">
        <f t="shared" si="7"/>
        <v>3656.4466434154401</v>
      </c>
      <c r="Q80" s="34">
        <f t="shared" si="7"/>
        <v>5280.7956931767822</v>
      </c>
      <c r="R80" s="34">
        <f t="shared" si="7"/>
        <v>5758.0961799989627</v>
      </c>
      <c r="S80" s="34">
        <f t="shared" si="7"/>
        <v>7139.793128924387</v>
      </c>
      <c r="T80" s="35">
        <f t="shared" si="7"/>
        <v>8275.2448049122904</v>
      </c>
    </row>
    <row r="81" spans="1:20" ht="18" hidden="1" x14ac:dyDescent="0.35">
      <c r="A81" s="13">
        <v>2900</v>
      </c>
      <c r="B81" s="30">
        <f t="shared" si="5"/>
        <v>3171.349888979214</v>
      </c>
      <c r="C81" s="31">
        <f t="shared" si="5"/>
        <v>4034.2414059028351</v>
      </c>
      <c r="D81" s="31">
        <f t="shared" si="5"/>
        <v>4133.7527368616675</v>
      </c>
      <c r="E81" s="31">
        <f t="shared" si="3"/>
        <v>5208.004901309092</v>
      </c>
      <c r="F81" s="32">
        <f t="shared" si="5"/>
        <v>6432.3640987290119</v>
      </c>
      <c r="G81" s="20"/>
      <c r="H81" s="13">
        <v>2900</v>
      </c>
      <c r="I81" s="30">
        <f t="shared" si="6"/>
        <v>3599.0192062019496</v>
      </c>
      <c r="J81" s="31">
        <f t="shared" si="6"/>
        <v>4686.9293024105418</v>
      </c>
      <c r="K81" s="31">
        <f t="shared" si="6"/>
        <v>5161.7727081760049</v>
      </c>
      <c r="L81" s="31">
        <f t="shared" si="4"/>
        <v>8046.6028343580956</v>
      </c>
      <c r="M81" s="32">
        <f t="shared" si="6"/>
        <v>7299.4741951530814</v>
      </c>
      <c r="N81" s="8"/>
      <c r="O81" s="13">
        <v>2900</v>
      </c>
      <c r="P81" s="30">
        <f t="shared" si="7"/>
        <v>3928.0879147058945</v>
      </c>
      <c r="Q81" s="31">
        <f t="shared" si="7"/>
        <v>5668.190858832626</v>
      </c>
      <c r="R81" s="31">
        <f t="shared" si="7"/>
        <v>6183.9310181449309</v>
      </c>
      <c r="S81" s="31">
        <f t="shared" si="7"/>
        <v>7666.5207404819266</v>
      </c>
      <c r="T81" s="32">
        <f t="shared" si="7"/>
        <v>8889.20977228843</v>
      </c>
    </row>
    <row r="82" spans="1:20" ht="18" hidden="1" x14ac:dyDescent="0.35">
      <c r="A82" s="21">
        <v>3100</v>
      </c>
      <c r="B82" s="33">
        <f t="shared" si="5"/>
        <v>3386.2863635884473</v>
      </c>
      <c r="C82" s="34">
        <f t="shared" si="5"/>
        <v>4311.0566042564251</v>
      </c>
      <c r="D82" s="34">
        <f t="shared" si="5"/>
        <v>4417.1846276080505</v>
      </c>
      <c r="E82" s="34">
        <f t="shared" si="3"/>
        <v>5565.1268334029883</v>
      </c>
      <c r="F82" s="35">
        <f t="shared" si="5"/>
        <v>6869.6687264836592</v>
      </c>
      <c r="G82" s="20"/>
      <c r="H82" s="21">
        <v>3100</v>
      </c>
      <c r="I82" s="33">
        <f t="shared" si="6"/>
        <v>3843.560771771874</v>
      </c>
      <c r="J82" s="34">
        <f t="shared" si="6"/>
        <v>5008.553345753925</v>
      </c>
      <c r="K82" s="34">
        <f t="shared" si="6"/>
        <v>5516.1600676839562</v>
      </c>
      <c r="L82" s="34">
        <f t="shared" si="4"/>
        <v>8597.594566994363</v>
      </c>
      <c r="M82" s="35">
        <f t="shared" si="6"/>
        <v>7798.2992407354795</v>
      </c>
      <c r="N82" s="8"/>
      <c r="O82" s="21">
        <v>3100</v>
      </c>
      <c r="P82" s="33">
        <f t="shared" si="7"/>
        <v>4192.2985453814799</v>
      </c>
      <c r="Q82" s="34">
        <f t="shared" si="7"/>
        <v>6059.2041716811091</v>
      </c>
      <c r="R82" s="34">
        <f t="shared" si="7"/>
        <v>6608.3459637489186</v>
      </c>
      <c r="S82" s="34">
        <f t="shared" si="7"/>
        <v>8195.9080131246592</v>
      </c>
      <c r="T82" s="35">
        <f t="shared" si="7"/>
        <v>9502.6542947424532</v>
      </c>
    </row>
    <row r="83" spans="1:20" ht="18" hidden="1" x14ac:dyDescent="0.35">
      <c r="A83" s="21">
        <v>3300</v>
      </c>
      <c r="B83" s="33">
        <f t="shared" si="5"/>
        <v>3603.8290090892615</v>
      </c>
      <c r="C83" s="34">
        <f t="shared" si="5"/>
        <v>4582.8537289387141</v>
      </c>
      <c r="D83" s="34">
        <f t="shared" si="5"/>
        <v>4697.9196993547548</v>
      </c>
      <c r="E83" s="34">
        <f t="shared" si="3"/>
        <v>5918.8808772885004</v>
      </c>
      <c r="F83" s="35">
        <f t="shared" si="5"/>
        <v>7307.5301365317409</v>
      </c>
      <c r="G83" s="20"/>
      <c r="H83" s="21">
        <v>3300</v>
      </c>
      <c r="I83" s="33">
        <f t="shared" si="6"/>
        <v>4085.7804184214424</v>
      </c>
      <c r="J83" s="34">
        <f t="shared" si="6"/>
        <v>5324.7829306208905</v>
      </c>
      <c r="K83" s="34">
        <f t="shared" si="6"/>
        <v>5867.3204342254412</v>
      </c>
      <c r="L83" s="34">
        <f t="shared" si="4"/>
        <v>9147.1126647435285</v>
      </c>
      <c r="M83" s="35">
        <f t="shared" si="6"/>
        <v>8292.5797706405174</v>
      </c>
      <c r="N83" s="8"/>
      <c r="O83" s="21">
        <v>3300</v>
      </c>
      <c r="P83" s="33">
        <f t="shared" si="7"/>
        <v>4458.84664579112</v>
      </c>
      <c r="Q83" s="34">
        <f t="shared" si="7"/>
        <v>6444.0675212465376</v>
      </c>
      <c r="R83" s="34">
        <f t="shared" si="7"/>
        <v>7031.3410168109285</v>
      </c>
      <c r="S83" s="34">
        <f t="shared" si="7"/>
        <v>8720.628864092565</v>
      </c>
      <c r="T83" s="35">
        <f t="shared" si="7"/>
        <v>10108.2522894743</v>
      </c>
    </row>
    <row r="84" spans="1:20" ht="18" hidden="1" x14ac:dyDescent="0.35">
      <c r="A84" s="19">
        <v>3500</v>
      </c>
      <c r="B84" s="36">
        <f t="shared" si="5"/>
        <v>3814.2097152150154</v>
      </c>
      <c r="C84" s="37">
        <f t="shared" si="5"/>
        <v>4856.9588627447602</v>
      </c>
      <c r="D84" s="37">
        <f t="shared" si="5"/>
        <v>4975.9579521017822</v>
      </c>
      <c r="E84" s="37">
        <f t="shared" si="3"/>
        <v>6269.2670329656303</v>
      </c>
      <c r="F84" s="38">
        <f t="shared" si="5"/>
        <v>7743.5063012704632</v>
      </c>
      <c r="G84" s="20"/>
      <c r="H84" s="19">
        <v>3500</v>
      </c>
      <c r="I84" s="36">
        <f t="shared" si="6"/>
        <v>4328.1201737567917</v>
      </c>
      <c r="J84" s="37">
        <f t="shared" si="6"/>
        <v>5642.9441397731371</v>
      </c>
      <c r="K84" s="37">
        <f t="shared" si="6"/>
        <v>6215.2538078004673</v>
      </c>
      <c r="L84" s="37">
        <f t="shared" si="4"/>
        <v>9691.8270899873933</v>
      </c>
      <c r="M84" s="38">
        <f t="shared" si="6"/>
        <v>8787.1998400626762</v>
      </c>
      <c r="N84" s="8"/>
      <c r="O84" s="19">
        <v>3500</v>
      </c>
      <c r="P84" s="36">
        <f t="shared" si="7"/>
        <v>4720.4061331731236</v>
      </c>
      <c r="Q84" s="37">
        <f t="shared" si="7"/>
        <v>6825.2229351478391</v>
      </c>
      <c r="R84" s="37">
        <f t="shared" si="7"/>
        <v>7448.0321220819969</v>
      </c>
      <c r="S84" s="37">
        <f t="shared" si="7"/>
        <v>9238.2412657989717</v>
      </c>
      <c r="T84" s="38">
        <f t="shared" si="7"/>
        <v>10710.887811684017</v>
      </c>
    </row>
    <row r="85" spans="1:20" ht="14.45" hidden="1" x14ac:dyDescent="0.3">
      <c r="H85" s="29"/>
      <c r="J85" s="29"/>
    </row>
    <row r="86" spans="1:20" ht="14.45" hidden="1" x14ac:dyDescent="0.3">
      <c r="H86" s="29"/>
      <c r="J86" s="29"/>
    </row>
    <row r="89" spans="1:20" ht="18" x14ac:dyDescent="0.35">
      <c r="A89" s="27" t="s">
        <v>3</v>
      </c>
      <c r="B89" s="8"/>
      <c r="C89" s="8"/>
      <c r="D89" s="8"/>
      <c r="E89" s="8"/>
      <c r="F89" s="8"/>
      <c r="G89" s="8"/>
      <c r="H89" s="27" t="s">
        <v>5</v>
      </c>
      <c r="I89" s="8"/>
      <c r="J89" s="8"/>
      <c r="K89" s="8"/>
      <c r="L89" s="8"/>
      <c r="M89" s="8"/>
      <c r="N89" s="8"/>
      <c r="O89" s="27" t="s">
        <v>6</v>
      </c>
      <c r="P89" s="8"/>
      <c r="Q89" s="8"/>
      <c r="R89" s="8"/>
      <c r="S89" s="8"/>
      <c r="T89" s="8"/>
    </row>
    <row r="90" spans="1:20" ht="18" x14ac:dyDescent="0.35">
      <c r="A90" s="9" t="s">
        <v>1</v>
      </c>
      <c r="B90" s="9"/>
      <c r="C90" s="10"/>
      <c r="D90" s="10" t="s">
        <v>4</v>
      </c>
      <c r="E90" s="10"/>
      <c r="F90" s="11"/>
      <c r="G90" s="12"/>
      <c r="H90" s="25" t="s">
        <v>1</v>
      </c>
      <c r="I90" s="14"/>
      <c r="J90" s="14"/>
      <c r="K90" s="10" t="s">
        <v>4</v>
      </c>
      <c r="L90" s="14"/>
      <c r="M90" s="15"/>
      <c r="N90" s="8"/>
      <c r="O90" s="25" t="s">
        <v>1</v>
      </c>
      <c r="P90" s="14"/>
      <c r="Q90" s="14"/>
      <c r="R90" s="10" t="s">
        <v>4</v>
      </c>
      <c r="S90" s="14"/>
      <c r="T90" s="15"/>
    </row>
    <row r="91" spans="1:20" ht="18" x14ac:dyDescent="0.35">
      <c r="A91" s="24" t="s">
        <v>2</v>
      </c>
      <c r="B91" s="16">
        <v>180</v>
      </c>
      <c r="C91" s="17">
        <v>260</v>
      </c>
      <c r="D91" s="17">
        <v>290</v>
      </c>
      <c r="E91" s="17">
        <v>340</v>
      </c>
      <c r="F91" s="18">
        <v>420</v>
      </c>
      <c r="G91" s="12"/>
      <c r="H91" s="26" t="s">
        <v>2</v>
      </c>
      <c r="I91" s="17">
        <v>180</v>
      </c>
      <c r="J91" s="17">
        <v>260</v>
      </c>
      <c r="K91" s="17">
        <v>290</v>
      </c>
      <c r="L91" s="17">
        <v>340</v>
      </c>
      <c r="M91" s="18">
        <v>420</v>
      </c>
      <c r="N91" s="8"/>
      <c r="O91" s="26" t="s">
        <v>2</v>
      </c>
      <c r="P91" s="17">
        <v>180</v>
      </c>
      <c r="Q91" s="17">
        <v>260</v>
      </c>
      <c r="R91" s="17">
        <v>290</v>
      </c>
      <c r="S91" s="17">
        <v>340</v>
      </c>
      <c r="T91" s="18">
        <v>420</v>
      </c>
    </row>
    <row r="92" spans="1:20" ht="18" x14ac:dyDescent="0.35">
      <c r="A92" s="13">
        <v>1000</v>
      </c>
      <c r="B92" s="41">
        <f>IF(B69&lt;500,"FAIL",IF($E$7&gt;0, B12*(0.0952*LN(B69)+0.1663), "FAIL"))</f>
        <v>172.57176392466639</v>
      </c>
      <c r="C92" s="42">
        <f t="shared" ref="C92:F92" si="8">IF(C69&lt;500,"FAIL",IF($E$7&gt;0, C12*(0.0952*LN(C69)+0.1663), "FAIL"))</f>
        <v>226.24328469134613</v>
      </c>
      <c r="D92" s="42">
        <f t="shared" si="8"/>
        <v>232.1715932512258</v>
      </c>
      <c r="E92" s="42">
        <f t="shared" si="8"/>
        <v>298.98157283492191</v>
      </c>
      <c r="F92" s="43">
        <f t="shared" si="8"/>
        <v>375.94687323847182</v>
      </c>
      <c r="G92" s="20"/>
      <c r="H92" s="21">
        <v>1000</v>
      </c>
      <c r="I92" s="41">
        <f>IF(I69&lt;500,"FAIL",IF($E$7&gt;0, I12*(0.0952*LN(I69)+0.1663), "FAIL"))</f>
        <v>199.02664423719392</v>
      </c>
      <c r="J92" s="42">
        <f t="shared" ref="J92:M92" si="9">IF(J69&lt;500,"FAIL",IF($E$7&gt;0, J12*(0.0952*LN(J69)+0.1663), "FAIL"))</f>
        <v>266.32883176027451</v>
      </c>
      <c r="K92" s="42">
        <f t="shared" si="9"/>
        <v>295.87723312405154</v>
      </c>
      <c r="L92" s="42">
        <f t="shared" si="9"/>
        <v>352.9797930220177</v>
      </c>
      <c r="M92" s="43">
        <f t="shared" si="9"/>
        <v>432.25904217277485</v>
      </c>
      <c r="N92" s="8"/>
      <c r="O92" s="21">
        <v>1000</v>
      </c>
      <c r="P92" s="41">
        <f>IF(P69&lt;500,"FAIL",IF($E$7&gt;0, P12*(0.0952*LN(P69)+0.1663), "FAIL"))</f>
        <v>219.25039030966391</v>
      </c>
      <c r="Q92" s="42">
        <f t="shared" ref="Q92:T92" si="10">IF(Q69&lt;500,"FAIL",IF($E$7&gt;0, Q12*(0.0952*LN(Q69)+0.1663), "FAIL"))</f>
        <v>328.2215622635764</v>
      </c>
      <c r="R92" s="42">
        <f t="shared" si="10"/>
        <v>360.86818624856687</v>
      </c>
      <c r="S92" s="42">
        <f t="shared" si="10"/>
        <v>457.27538007630517</v>
      </c>
      <c r="T92" s="43">
        <f t="shared" si="10"/>
        <v>537.0065358867422</v>
      </c>
    </row>
    <row r="93" spans="1:20" ht="18" x14ac:dyDescent="0.35">
      <c r="A93" s="21">
        <v>1100</v>
      </c>
      <c r="B93" s="44">
        <f t="shared" ref="B93:F93" si="11">IF(B70&lt;500,"FAIL",IF($E$7&gt;0, B13*(0.0952*LN(B70)+0.1663), "FAIL"))</f>
        <v>195.99374556270172</v>
      </c>
      <c r="C93" s="45">
        <f t="shared" si="11"/>
        <v>255.83158707023176</v>
      </c>
      <c r="D93" s="45">
        <f t="shared" si="11"/>
        <v>262.58868016408405</v>
      </c>
      <c r="E93" s="45">
        <f t="shared" si="11"/>
        <v>338.08763367283336</v>
      </c>
      <c r="F93" s="46">
        <f t="shared" si="11"/>
        <v>425.69568810539579</v>
      </c>
      <c r="G93" s="20"/>
      <c r="H93" s="21">
        <v>1100</v>
      </c>
      <c r="I93" s="44">
        <f t="shared" ref="I93:M93" si="12">IF(I70&lt;500,"FAIL",IF($E$7&gt;0, I13*(0.0952*LN(I70)+0.1663), "FAIL"))</f>
        <v>225.16917609386797</v>
      </c>
      <c r="J93" s="45">
        <f t="shared" si="12"/>
        <v>301.13476324435686</v>
      </c>
      <c r="K93" s="45">
        <f t="shared" si="12"/>
        <v>335.02693123441975</v>
      </c>
      <c r="L93" s="45">
        <f t="shared" si="12"/>
        <v>399.01702304907786</v>
      </c>
      <c r="M93" s="46">
        <f t="shared" si="12"/>
        <v>489.15759842193228</v>
      </c>
      <c r="N93" s="8"/>
      <c r="O93" s="21">
        <v>1100</v>
      </c>
      <c r="P93" s="44">
        <f t="shared" ref="P93:T93" si="13">IF(P70&lt;500,"FAIL",IF($E$7&gt;0, P13*(0.0952*LN(P70)+0.1663), "FAIL"))</f>
        <v>247.9789713722584</v>
      </c>
      <c r="Q93" s="45">
        <f t="shared" si="13"/>
        <v>371.14280535286474</v>
      </c>
      <c r="R93" s="45">
        <f t="shared" si="13"/>
        <v>407.92896794615893</v>
      </c>
      <c r="S93" s="45">
        <f t="shared" si="13"/>
        <v>517.22539156083315</v>
      </c>
      <c r="T93" s="46">
        <f t="shared" si="13"/>
        <v>607.34485099651351</v>
      </c>
    </row>
    <row r="94" spans="1:20" ht="18" x14ac:dyDescent="0.35">
      <c r="A94" s="21">
        <v>1200</v>
      </c>
      <c r="B94" s="44">
        <f t="shared" ref="B94:F94" si="14">IF(B71&lt;500,"FAIL",IF($E$7&gt;0, B14*(0.0952*LN(B71)+0.1663), "FAIL"))</f>
        <v>218.62467308736015</v>
      </c>
      <c r="C94" s="45">
        <f t="shared" si="14"/>
        <v>285.12182928620007</v>
      </c>
      <c r="D94" s="45">
        <f t="shared" si="14"/>
        <v>292.70885761289935</v>
      </c>
      <c r="E94" s="45">
        <f t="shared" si="14"/>
        <v>377.91962861741956</v>
      </c>
      <c r="F94" s="46">
        <f t="shared" si="14"/>
        <v>475.72896128375288</v>
      </c>
      <c r="G94" s="20"/>
      <c r="H94" s="21">
        <v>1200</v>
      </c>
      <c r="I94" s="44">
        <f t="shared" ref="I94:M94" si="15">IF(I71&lt;500,"FAIL",IF($E$7&gt;0, I14*(0.0952*LN(I71)+0.1663), "FAIL"))</f>
        <v>251.47724929413354</v>
      </c>
      <c r="J94" s="45">
        <f t="shared" si="15"/>
        <v>336.15386974253948</v>
      </c>
      <c r="K94" s="45">
        <f t="shared" si="15"/>
        <v>373.92696317538304</v>
      </c>
      <c r="L94" s="45">
        <f t="shared" si="15"/>
        <v>445.83834604546712</v>
      </c>
      <c r="M94" s="46">
        <f t="shared" si="15"/>
        <v>545.88066835818745</v>
      </c>
      <c r="N94" s="8"/>
      <c r="O94" s="21">
        <v>1200</v>
      </c>
      <c r="P94" s="44">
        <f t="shared" ref="P94:T94" si="16">IF(P71&lt;500,"FAIL",IF($E$7&gt;0, P14*(0.0952*LN(P71)+0.1663), "FAIL"))</f>
        <v>276.88558259064808</v>
      </c>
      <c r="Q94" s="45">
        <f t="shared" si="16"/>
        <v>413.81503935597379</v>
      </c>
      <c r="R94" s="45">
        <f t="shared" si="16"/>
        <v>455.7690181471902</v>
      </c>
      <c r="S94" s="45">
        <f t="shared" si="16"/>
        <v>577.01593541822058</v>
      </c>
      <c r="T94" s="46">
        <f t="shared" si="16"/>
        <v>678.0879484644073</v>
      </c>
    </row>
    <row r="95" spans="1:20" ht="18" x14ac:dyDescent="0.35">
      <c r="A95" s="19">
        <v>1300</v>
      </c>
      <c r="B95" s="47">
        <f t="shared" ref="B95:F95" si="17">IF(B72&lt;500,"FAIL",IF($E$7&gt;0, B15*(0.0952*LN(B72)+0.1663), "FAIL"))</f>
        <v>241.83515598102196</v>
      </c>
      <c r="C95" s="48">
        <f t="shared" si="17"/>
        <v>314.55459142781677</v>
      </c>
      <c r="D95" s="48">
        <f t="shared" si="17"/>
        <v>323.94764653591824</v>
      </c>
      <c r="E95" s="48">
        <f t="shared" si="17"/>
        <v>416.95251163553405</v>
      </c>
      <c r="F95" s="49">
        <f t="shared" si="17"/>
        <v>524.97534038258334</v>
      </c>
      <c r="G95" s="20"/>
      <c r="H95" s="21">
        <v>1300</v>
      </c>
      <c r="I95" s="47">
        <f t="shared" ref="I95:M95" si="18">IF(I72&lt;500,"FAIL",IF($E$7&gt;0, I15*(0.0952*LN(I72)+0.1663), "FAIL"))</f>
        <v>278.40217434001039</v>
      </c>
      <c r="J95" s="48">
        <f t="shared" si="18"/>
        <v>370.85457340682393</v>
      </c>
      <c r="K95" s="48">
        <f t="shared" si="18"/>
        <v>413.01894719188061</v>
      </c>
      <c r="L95" s="48">
        <f t="shared" si="18"/>
        <v>491.85190798871935</v>
      </c>
      <c r="M95" s="49">
        <f t="shared" si="18"/>
        <v>602.86863721611189</v>
      </c>
      <c r="N95" s="8"/>
      <c r="O95" s="21">
        <v>1300</v>
      </c>
      <c r="P95" s="47">
        <f t="shared" ref="P95:T95" si="19">IF(P72&lt;500,"FAIL",IF($E$7&gt;0, P15*(0.0952*LN(P72)+0.1663), "FAIL"))</f>
        <v>304.96804782025339</v>
      </c>
      <c r="Q95" s="48">
        <f t="shared" si="19"/>
        <v>457.68572470106545</v>
      </c>
      <c r="R95" s="48">
        <f t="shared" si="19"/>
        <v>502.83147748678238</v>
      </c>
      <c r="S95" s="48">
        <f t="shared" si="19"/>
        <v>637.08733595621084</v>
      </c>
      <c r="T95" s="49">
        <f t="shared" si="19"/>
        <v>749.16230485626795</v>
      </c>
    </row>
    <row r="96" spans="1:20" ht="18" x14ac:dyDescent="0.35">
      <c r="A96" s="21">
        <v>1400</v>
      </c>
      <c r="B96" s="41">
        <f t="shared" ref="B96:F96" si="20">IF(B73&lt;500,"FAIL",IF($E$7&gt;0, B16*(0.0952*LN(B73)+0.1663), "FAIL"))</f>
        <v>264.17927345998373</v>
      </c>
      <c r="C96" s="42">
        <f t="shared" si="20"/>
        <v>345.0840021827957</v>
      </c>
      <c r="D96" s="42">
        <f t="shared" si="20"/>
        <v>353.84473376920249</v>
      </c>
      <c r="E96" s="42">
        <f t="shared" si="20"/>
        <v>456.13096217684455</v>
      </c>
      <c r="F96" s="43">
        <f t="shared" si="20"/>
        <v>574.90285332337965</v>
      </c>
      <c r="G96" s="20"/>
      <c r="H96" s="13">
        <v>1400</v>
      </c>
      <c r="I96" s="41">
        <f t="shared" ref="I96:M96" si="21">IF(I73&lt;500,"FAIL",IF($E$7&gt;0, I16*(0.0952*LN(I73)+0.1663), "FAIL"))</f>
        <v>303.99180654767599</v>
      </c>
      <c r="J96" s="42">
        <f t="shared" si="21"/>
        <v>406.18801880046681</v>
      </c>
      <c r="K96" s="42">
        <f t="shared" si="21"/>
        <v>451.76632883541851</v>
      </c>
      <c r="L96" s="42">
        <f t="shared" si="21"/>
        <v>539.08453943567224</v>
      </c>
      <c r="M96" s="43">
        <f t="shared" si="21"/>
        <v>660.07231282203452</v>
      </c>
      <c r="N96" s="8"/>
      <c r="O96" s="13">
        <v>1400</v>
      </c>
      <c r="P96" s="41">
        <f t="shared" ref="P96:T96" si="22">IF(P73&lt;500,"FAIL",IF($E$7&gt;0, P16*(0.0952*LN(P73)+0.1663), "FAIL"))</f>
        <v>333.64297221723604</v>
      </c>
      <c r="Q96" s="42">
        <f t="shared" si="22"/>
        <v>500.71589974960949</v>
      </c>
      <c r="R96" s="42">
        <f t="shared" si="22"/>
        <v>551.09152467818558</v>
      </c>
      <c r="S96" s="42">
        <f t="shared" si="22"/>
        <v>696.86779919101343</v>
      </c>
      <c r="T96" s="43">
        <f t="shared" si="22"/>
        <v>818.92463110274548</v>
      </c>
    </row>
    <row r="97" spans="1:20" ht="18" x14ac:dyDescent="0.35">
      <c r="A97" s="21">
        <v>1500</v>
      </c>
      <c r="B97" s="44">
        <f t="shared" ref="B97:F97" si="23">IF(B74&lt;500,"FAIL",IF($E$7&gt;0, B17*(0.0952*LN(B74)+0.1663), "FAIL"))</f>
        <v>287.06391921786144</v>
      </c>
      <c r="C97" s="45">
        <f t="shared" si="23"/>
        <v>373.74712224007988</v>
      </c>
      <c r="D97" s="45">
        <f t="shared" si="23"/>
        <v>384.81784262829206</v>
      </c>
      <c r="E97" s="45">
        <f t="shared" si="23"/>
        <v>495.93204843151392</v>
      </c>
      <c r="F97" s="46">
        <f t="shared" si="23"/>
        <v>623.9389954416572</v>
      </c>
      <c r="G97" s="20"/>
      <c r="H97" s="21">
        <v>1500</v>
      </c>
      <c r="I97" s="44">
        <f t="shared" ref="I97:M97" si="24">IF(I74&lt;500,"FAIL",IF($E$7&gt;0, I17*(0.0952*LN(I74)+0.1663), "FAIL"))</f>
        <v>330.14606323938762</v>
      </c>
      <c r="J97" s="45">
        <f t="shared" si="24"/>
        <v>440.63697025103897</v>
      </c>
      <c r="K97" s="45">
        <f t="shared" si="24"/>
        <v>491.13995007085316</v>
      </c>
      <c r="L97" s="45">
        <f t="shared" si="24"/>
        <v>584.89349469927674</v>
      </c>
      <c r="M97" s="46">
        <f t="shared" si="24"/>
        <v>716.92858833997343</v>
      </c>
      <c r="N97" s="8"/>
      <c r="O97" s="21">
        <v>1500</v>
      </c>
      <c r="P97" s="44">
        <f t="shared" ref="P97:T97" si="25">IF(P74&lt;500,"FAIL",IF($E$7&gt;0, P17*(0.0952*LN(P74)+0.1663), "FAIL"))</f>
        <v>362.90044779222319</v>
      </c>
      <c r="Q97" s="45">
        <f t="shared" si="25"/>
        <v>543.87028021727735</v>
      </c>
      <c r="R97" s="45">
        <f t="shared" si="25"/>
        <v>597.96702890250413</v>
      </c>
      <c r="S97" s="45">
        <f t="shared" si="25"/>
        <v>756.82756718425401</v>
      </c>
      <c r="T97" s="46">
        <f t="shared" si="25"/>
        <v>889.9471946332186</v>
      </c>
    </row>
    <row r="98" spans="1:20" ht="18" x14ac:dyDescent="0.35">
      <c r="A98" s="21">
        <v>1700</v>
      </c>
      <c r="B98" s="44">
        <f t="shared" ref="B98:F98" si="26">IF(B75&lt;500,"FAIL",IF($E$7&gt;0, B18*(0.0952*LN(B75)+0.1663), "FAIL"))</f>
        <v>332.97114836986952</v>
      </c>
      <c r="C98" s="45">
        <f t="shared" si="26"/>
        <v>433.74398777125373</v>
      </c>
      <c r="D98" s="45">
        <f t="shared" si="26"/>
        <v>445.98676789493692</v>
      </c>
      <c r="E98" s="45">
        <f t="shared" si="26"/>
        <v>574.27245686894378</v>
      </c>
      <c r="F98" s="46">
        <f t="shared" si="26"/>
        <v>723.31586602343668</v>
      </c>
      <c r="G98" s="20"/>
      <c r="H98" s="21">
        <v>1700</v>
      </c>
      <c r="I98" s="44">
        <f t="shared" ref="I98:M98" si="27">IF(I75&lt;500,"FAIL",IF($E$7&gt;0, I18*(0.0952*LN(I75)+0.1663), "FAIL"))</f>
        <v>382.146149027538</v>
      </c>
      <c r="J98" s="45">
        <f t="shared" si="27"/>
        <v>511.78846870353942</v>
      </c>
      <c r="K98" s="45">
        <f t="shared" si="27"/>
        <v>569.15213313352979</v>
      </c>
      <c r="L98" s="45">
        <f t="shared" si="27"/>
        <v>677.87263546356496</v>
      </c>
      <c r="M98" s="46">
        <f t="shared" si="27"/>
        <v>831.00868470651267</v>
      </c>
      <c r="N98" s="8"/>
      <c r="O98" s="21">
        <v>1700</v>
      </c>
      <c r="P98" s="44">
        <f t="shared" ref="P98:T98" si="28">IF(P75&lt;500,"FAIL",IF($E$7&gt;0, P18*(0.0952*LN(P75)+0.1663), "FAIL"))</f>
        <v>420.63655166190449</v>
      </c>
      <c r="Q98" s="45">
        <f t="shared" si="28"/>
        <v>630.44788832069014</v>
      </c>
      <c r="R98" s="45">
        <f t="shared" si="28"/>
        <v>693.05434774856792</v>
      </c>
      <c r="S98" s="45">
        <f t="shared" si="28"/>
        <v>877.14593136049018</v>
      </c>
      <c r="T98" s="46">
        <f t="shared" si="28"/>
        <v>1031.3913027938718</v>
      </c>
    </row>
    <row r="99" spans="1:20" ht="18" x14ac:dyDescent="0.35">
      <c r="A99" s="21">
        <v>1900</v>
      </c>
      <c r="B99" s="47">
        <f t="shared" ref="B99:F99" si="29">IF(B76&lt;500,"FAIL",IF($E$7&gt;0, B19*(0.0952*LN(B76)+0.1663), "FAIL"))</f>
        <v>377.99408378963852</v>
      </c>
      <c r="C99" s="48">
        <f t="shared" si="29"/>
        <v>492.92198390301041</v>
      </c>
      <c r="D99" s="48">
        <f t="shared" si="29"/>
        <v>506.82118539116919</v>
      </c>
      <c r="E99" s="48">
        <f t="shared" si="29"/>
        <v>653.330882244858</v>
      </c>
      <c r="F99" s="49">
        <f t="shared" si="29"/>
        <v>821.85019641436008</v>
      </c>
      <c r="G99" s="20"/>
      <c r="H99" s="19">
        <v>1900</v>
      </c>
      <c r="I99" s="47">
        <f t="shared" ref="I99:M99" si="30">IF(I76&lt;500,"FAIL",IF($E$7&gt;0, I19*(0.0952*LN(I76)+0.1663), "FAIL"))</f>
        <v>434.79560680879922</v>
      </c>
      <c r="J99" s="48">
        <f t="shared" si="30"/>
        <v>581.63578064992896</v>
      </c>
      <c r="K99" s="48">
        <f t="shared" si="30"/>
        <v>646.87888500325312</v>
      </c>
      <c r="L99" s="48">
        <f t="shared" si="30"/>
        <v>771.12792721404162</v>
      </c>
      <c r="M99" s="49">
        <f t="shared" si="30"/>
        <v>945.39856859278655</v>
      </c>
      <c r="N99" s="8"/>
      <c r="O99" s="19">
        <v>1900</v>
      </c>
      <c r="P99" s="47">
        <f t="shared" ref="P99:T99" si="31">IF(P76&lt;500,"FAIL",IF($E$7&gt;0, P19*(0.0952*LN(P76)+0.1663), "FAIL"))</f>
        <v>478.03709641931118</v>
      </c>
      <c r="Q99" s="48">
        <f t="shared" si="31"/>
        <v>717.24332060020708</v>
      </c>
      <c r="R99" s="48">
        <f t="shared" si="31"/>
        <v>787.884588940051</v>
      </c>
      <c r="S99" s="48">
        <f t="shared" si="31"/>
        <v>996.7355247544358</v>
      </c>
      <c r="T99" s="49">
        <f t="shared" si="31"/>
        <v>1172.1355911079145</v>
      </c>
    </row>
    <row r="100" spans="1:20" ht="18" x14ac:dyDescent="0.35">
      <c r="A100" s="13">
        <v>2100</v>
      </c>
      <c r="B100" s="41">
        <f t="shared" ref="B100:F100" si="32">IF(B77&lt;500,"FAIL",IF($E$7&gt;0, B20*(0.0952*LN(B77)+0.1663), "FAIL"))</f>
        <v>424.02246148187942</v>
      </c>
      <c r="C100" s="42">
        <f t="shared" si="32"/>
        <v>552.68566800516965</v>
      </c>
      <c r="D100" s="42">
        <f t="shared" si="32"/>
        <v>567.71994308748424</v>
      </c>
      <c r="E100" s="42">
        <f t="shared" si="32"/>
        <v>732.47730671846421</v>
      </c>
      <c r="F100" s="43">
        <f t="shared" si="32"/>
        <v>921.48755459808035</v>
      </c>
      <c r="G100" s="20"/>
      <c r="H100" s="21">
        <v>2100</v>
      </c>
      <c r="I100" s="41">
        <f t="shared" ref="I100:M100" si="33">IF(I77&lt;500,"FAIL",IF($E$7&gt;0, I20*(0.0952*LN(I77)+0.1663), "FAIL"))</f>
        <v>487.01590632528655</v>
      </c>
      <c r="J100" s="42">
        <f t="shared" si="33"/>
        <v>651.57267659142667</v>
      </c>
      <c r="K100" s="42">
        <f t="shared" si="33"/>
        <v>724.18350349512036</v>
      </c>
      <c r="L100" s="42">
        <f t="shared" si="33"/>
        <v>863.97642057473729</v>
      </c>
      <c r="M100" s="43">
        <f t="shared" si="33"/>
        <v>1058.3083018955497</v>
      </c>
      <c r="N100" s="8"/>
      <c r="O100" s="21">
        <v>2100</v>
      </c>
      <c r="P100" s="41">
        <f t="shared" ref="P100:T100" si="34">IF(P77&lt;500,"FAIL",IF($E$7&gt;0, P20*(0.0952*LN(P77)+0.1663), "FAIL"))</f>
        <v>536.01262484359199</v>
      </c>
      <c r="Q100" s="42">
        <f t="shared" si="34"/>
        <v>803.06743177604039</v>
      </c>
      <c r="R100" s="42">
        <f t="shared" si="34"/>
        <v>882.82687832849399</v>
      </c>
      <c r="S100" s="42">
        <f t="shared" si="34"/>
        <v>1118.0896000985358</v>
      </c>
      <c r="T100" s="43">
        <f t="shared" si="34"/>
        <v>1313.0350136127727</v>
      </c>
    </row>
    <row r="101" spans="1:20" ht="18" x14ac:dyDescent="0.35">
      <c r="A101" s="21">
        <v>2300</v>
      </c>
      <c r="B101" s="44">
        <f t="shared" ref="B101:F101" si="35">IF(B78&lt;500,"FAIL",IF($E$7&gt;0, B21*(0.0952*LN(B78)+0.1663), "FAIL"))</f>
        <v>470.01719336973224</v>
      </c>
      <c r="C101" s="45">
        <f t="shared" si="35"/>
        <v>611.9437502677988</v>
      </c>
      <c r="D101" s="45">
        <f t="shared" si="35"/>
        <v>629.1221618947668</v>
      </c>
      <c r="E101" s="45">
        <f t="shared" si="35"/>
        <v>810.0312692605836</v>
      </c>
      <c r="F101" s="46">
        <f t="shared" si="35"/>
        <v>1019.9854624957474</v>
      </c>
      <c r="G101" s="20"/>
      <c r="H101" s="21">
        <v>2300</v>
      </c>
      <c r="I101" s="44">
        <f t="shared" ref="I101:M101" si="36">IF(I78&lt;500,"FAIL",IF($E$7&gt;0, I21*(0.0952*LN(I78)+0.1663), "FAIL"))</f>
        <v>539.23516018437351</v>
      </c>
      <c r="J101" s="45">
        <f t="shared" si="36"/>
        <v>722.03420535279736</v>
      </c>
      <c r="K101" s="45">
        <f t="shared" si="36"/>
        <v>802.00994109568069</v>
      </c>
      <c r="L101" s="45">
        <f t="shared" si="36"/>
        <v>956.84094575763606</v>
      </c>
      <c r="M101" s="46">
        <f t="shared" si="36"/>
        <v>1172.2743358151247</v>
      </c>
      <c r="N101" s="8"/>
      <c r="O101" s="21">
        <v>2300</v>
      </c>
      <c r="P101" s="44">
        <f t="shared" ref="P101:T101" si="37">IF(P78&lt;500,"FAIL",IF($E$7&gt;0, P21*(0.0952*LN(P78)+0.1663), "FAIL"))</f>
        <v>593.98992034746254</v>
      </c>
      <c r="Q101" s="45">
        <f t="shared" si="37"/>
        <v>888.8474011450628</v>
      </c>
      <c r="R101" s="45">
        <f t="shared" si="37"/>
        <v>977.76539970958913</v>
      </c>
      <c r="S101" s="45">
        <f t="shared" si="37"/>
        <v>1238.3787356258406</v>
      </c>
      <c r="T101" s="46">
        <f t="shared" si="37"/>
        <v>1455.0286204588124</v>
      </c>
    </row>
    <row r="102" spans="1:20" ht="18.75" x14ac:dyDescent="0.3">
      <c r="A102" s="21">
        <v>2500</v>
      </c>
      <c r="B102" s="44">
        <f t="shared" ref="B102:F102" si="38">IF(B79&lt;500,"FAIL",IF($E$7&gt;0, B22*(0.0952*LN(B79)+0.1663), "FAIL"))</f>
        <v>514.91268855816645</v>
      </c>
      <c r="C102" s="45">
        <f t="shared" si="38"/>
        <v>672.17844022898839</v>
      </c>
      <c r="D102" s="45">
        <f t="shared" si="38"/>
        <v>689.93658717743062</v>
      </c>
      <c r="E102" s="45">
        <f t="shared" si="38"/>
        <v>889.06180940209515</v>
      </c>
      <c r="F102" s="46">
        <f t="shared" si="38"/>
        <v>1119.9234154838866</v>
      </c>
      <c r="G102" s="20"/>
      <c r="H102" s="21">
        <v>2500</v>
      </c>
      <c r="I102" s="44">
        <f t="shared" ref="I102:M102" si="39">IF(I79&lt;500,"FAIL",IF($E$7&gt;0, I22*(0.0952*LN(I79)+0.1663), "FAIL"))</f>
        <v>591.91224434713445</v>
      </c>
      <c r="J102" s="45">
        <f t="shared" si="39"/>
        <v>792.43505506516669</v>
      </c>
      <c r="K102" s="45">
        <f t="shared" si="39"/>
        <v>880.29275511073547</v>
      </c>
      <c r="L102" s="45">
        <f t="shared" si="39"/>
        <v>1049.079753027592</v>
      </c>
      <c r="M102" s="46">
        <f t="shared" si="39"/>
        <v>1286.1166379153601</v>
      </c>
      <c r="N102" s="8"/>
      <c r="O102" s="21">
        <v>2500</v>
      </c>
      <c r="P102" s="44">
        <f t="shared" ref="P102:T102" si="40">IF(P79&lt;500,"FAIL",IF($E$7&gt;0, P22*(0.0952*LN(P79)+0.1663), "FAIL"))</f>
        <v>650.87278455179546</v>
      </c>
      <c r="Q102" s="45">
        <f t="shared" si="40"/>
        <v>976.10210597992034</v>
      </c>
      <c r="R102" s="45">
        <f t="shared" si="40"/>
        <v>1073.144485560789</v>
      </c>
      <c r="S102" s="45">
        <f t="shared" si="40"/>
        <v>1358.0078750508453</v>
      </c>
      <c r="T102" s="46">
        <f t="shared" si="40"/>
        <v>1595.7789415440009</v>
      </c>
    </row>
    <row r="103" spans="1:20" ht="18.75" x14ac:dyDescent="0.3">
      <c r="A103" s="19">
        <v>2700</v>
      </c>
      <c r="B103" s="47">
        <f t="shared" ref="B103:F103" si="41">IF(B80&lt;500,"FAIL",IF($E$7&gt;0, B23*(0.0952*LN(B80)+0.1663), "FAIL"))</f>
        <v>560.68929246098219</v>
      </c>
      <c r="C103" s="48">
        <f t="shared" si="41"/>
        <v>731.27020009817852</v>
      </c>
      <c r="D103" s="48">
        <f t="shared" si="41"/>
        <v>751.14595494486923</v>
      </c>
      <c r="E103" s="48">
        <f t="shared" si="41"/>
        <v>967.93305019598688</v>
      </c>
      <c r="F103" s="49">
        <f t="shared" si="41"/>
        <v>1219.0729088543455</v>
      </c>
      <c r="G103" s="20"/>
      <c r="H103" s="21">
        <v>2700</v>
      </c>
      <c r="I103" s="47">
        <f t="shared" ref="I103:M103" si="42">IF(I80&lt;500,"FAIL",IF($E$7&gt;0, I23*(0.0952*LN(I80)+0.1663), "FAIL"))</f>
        <v>643.97831283545179</v>
      </c>
      <c r="J103" s="48">
        <f t="shared" si="42"/>
        <v>862.18486565698947</v>
      </c>
      <c r="K103" s="48">
        <f t="shared" si="42"/>
        <v>957.90857443844118</v>
      </c>
      <c r="L103" s="48">
        <f t="shared" si="42"/>
        <v>1142.2728187904797</v>
      </c>
      <c r="M103" s="49">
        <f t="shared" si="42"/>
        <v>1400.2919488833181</v>
      </c>
      <c r="N103" s="8"/>
      <c r="O103" s="21">
        <v>2700</v>
      </c>
      <c r="P103" s="47">
        <f t="shared" ref="P103:T103" si="43">IF(P80&lt;500,"FAIL",IF($E$7&gt;0, P23*(0.0952*LN(P80)+0.1663), "FAIL"))</f>
        <v>709.19455301401979</v>
      </c>
      <c r="Q103" s="48">
        <f t="shared" si="43"/>
        <v>1062.0986629340907</v>
      </c>
      <c r="R103" s="48">
        <f t="shared" si="43"/>
        <v>1167.8101742276829</v>
      </c>
      <c r="S103" s="48">
        <f t="shared" si="43"/>
        <v>1477.974001576518</v>
      </c>
      <c r="T103" s="49">
        <f t="shared" si="43"/>
        <v>1736.8288445064854</v>
      </c>
    </row>
    <row r="104" spans="1:20" ht="18.75" x14ac:dyDescent="0.3">
      <c r="A104" s="21">
        <v>2900</v>
      </c>
      <c r="B104" s="41">
        <f t="shared" ref="B104:F104" si="44">IF(B81&lt;500,"FAIL",IF($E$7&gt;0, B24*(0.0952*LN(B81)+0.1663), "FAIL"))</f>
        <v>606.30416055276601</v>
      </c>
      <c r="C104" s="42">
        <f t="shared" si="44"/>
        <v>790.2055420868669</v>
      </c>
      <c r="D104" s="42">
        <f t="shared" si="44"/>
        <v>811.66140860022369</v>
      </c>
      <c r="E104" s="42">
        <f t="shared" si="44"/>
        <v>1046.0492081242949</v>
      </c>
      <c r="F104" s="43">
        <f t="shared" si="44"/>
        <v>1318.4471928892863</v>
      </c>
      <c r="G104" s="20"/>
      <c r="H104" s="13">
        <v>2900</v>
      </c>
      <c r="I104" s="41">
        <f t="shared" ref="I104:M104" si="45">IF(I81&lt;500,"FAIL",IF($E$7&gt;0, I24*(0.0952*LN(I81)+0.1663), "FAIL"))</f>
        <v>696.94509122949046</v>
      </c>
      <c r="J104" s="42">
        <f t="shared" si="45"/>
        <v>931.75521259901302</v>
      </c>
      <c r="K104" s="42">
        <f t="shared" si="45"/>
        <v>1035.8658710728228</v>
      </c>
      <c r="L104" s="42">
        <f t="shared" si="45"/>
        <v>1235.2600311501906</v>
      </c>
      <c r="M104" s="43">
        <f t="shared" si="45"/>
        <v>1514.1765460942779</v>
      </c>
      <c r="N104" s="8"/>
      <c r="O104" s="13">
        <v>2900</v>
      </c>
      <c r="P104" s="41">
        <f t="shared" ref="P104:T104" si="46">IF(P81&lt;500,"FAIL",IF($E$7&gt;0, P24*(0.0952*LN(P81)+0.1663), "FAIL"))</f>
        <v>767.37032312076371</v>
      </c>
      <c r="Q104" s="42">
        <f t="shared" si="46"/>
        <v>1147.8371574398277</v>
      </c>
      <c r="R104" s="42">
        <f t="shared" si="46"/>
        <v>1262.7767612225489</v>
      </c>
      <c r="S104" s="42">
        <f t="shared" si="46"/>
        <v>1597.6483142698942</v>
      </c>
      <c r="T104" s="43">
        <f t="shared" si="46"/>
        <v>1878.0924121808644</v>
      </c>
    </row>
    <row r="105" spans="1:20" ht="18.75" x14ac:dyDescent="0.3">
      <c r="A105" s="21">
        <v>3100</v>
      </c>
      <c r="B105" s="44">
        <f t="shared" ref="B105:F105" si="47">IF(B82&lt;500,"FAIL",IF($E$7&gt;0, B25*(0.0952*LN(B82)+0.1663), "FAIL"))</f>
        <v>651.726426869541</v>
      </c>
      <c r="C105" s="45">
        <f t="shared" si="47"/>
        <v>850.00532217006958</v>
      </c>
      <c r="D105" s="45">
        <f t="shared" si="47"/>
        <v>873.02506923610451</v>
      </c>
      <c r="E105" s="45">
        <f t="shared" si="47"/>
        <v>1124.9750792438492</v>
      </c>
      <c r="F105" s="46">
        <f t="shared" si="47"/>
        <v>1416.8913140424429</v>
      </c>
      <c r="G105" s="20"/>
      <c r="H105" s="21">
        <v>3100</v>
      </c>
      <c r="I105" s="44">
        <f t="shared" ref="I105:M105" si="48">IF(I82&lt;500,"FAIL",IF($E$7&gt;0, I25*(0.0952*LN(I82)+0.1663), "FAIL"))</f>
        <v>749.22718014969234</v>
      </c>
      <c r="J105" s="45">
        <f t="shared" si="48"/>
        <v>1002.1751056861029</v>
      </c>
      <c r="K105" s="45">
        <f t="shared" si="48"/>
        <v>1114.1260694454284</v>
      </c>
      <c r="L105" s="45">
        <f t="shared" si="48"/>
        <v>1327.9857687737235</v>
      </c>
      <c r="M105" s="46">
        <f t="shared" si="48"/>
        <v>1627.7011240935947</v>
      </c>
      <c r="N105" s="8"/>
      <c r="O105" s="21">
        <v>3100</v>
      </c>
      <c r="P105" s="44">
        <f t="shared" ref="P105:T105" si="49">IF(P82&lt;500,"FAIL",IF($E$7&gt;0, P25*(0.0952*LN(P82)+0.1663), "FAIL"))</f>
        <v>824.30649611174397</v>
      </c>
      <c r="Q105" s="45">
        <f t="shared" si="49"/>
        <v>1234.900072701186</v>
      </c>
      <c r="R105" s="45">
        <f t="shared" si="49"/>
        <v>1357.9959206933534</v>
      </c>
      <c r="S105" s="45">
        <f t="shared" si="49"/>
        <v>1718.6381480981524</v>
      </c>
      <c r="T105" s="46">
        <f t="shared" si="49"/>
        <v>2020.0624405756596</v>
      </c>
    </row>
    <row r="106" spans="1:20" ht="18.75" x14ac:dyDescent="0.3">
      <c r="A106" s="21">
        <v>3300</v>
      </c>
      <c r="B106" s="44">
        <f t="shared" ref="B106:F106" si="50">IF(B83&lt;500,"FAIL",IF($E$7&gt;0, B26*(0.0952*LN(B83)+0.1663), "FAIL"))</f>
        <v>697.97035660889094</v>
      </c>
      <c r="C106" s="45">
        <f t="shared" si="50"/>
        <v>909.05852536193447</v>
      </c>
      <c r="D106" s="45">
        <f t="shared" si="50"/>
        <v>934.15463368977964</v>
      </c>
      <c r="E106" s="45">
        <f t="shared" si="50"/>
        <v>1203.5974289403403</v>
      </c>
      <c r="F106" s="46">
        <f t="shared" si="50"/>
        <v>1516.0047884740736</v>
      </c>
      <c r="G106" s="20"/>
      <c r="H106" s="21">
        <v>3300</v>
      </c>
      <c r="I106" s="44">
        <f t="shared" ref="I106:M106" si="51">IF(I83&lt;500,"FAIL",IF($E$7&gt;0, I26*(0.0952*LN(I83)+0.1663), "FAIL"))</f>
        <v>801.31208716995036</v>
      </c>
      <c r="J106" s="45">
        <f t="shared" si="51"/>
        <v>1071.8067938590825</v>
      </c>
      <c r="K106" s="45">
        <f t="shared" si="51"/>
        <v>1192.1117848596605</v>
      </c>
      <c r="L106" s="45">
        <f t="shared" si="51"/>
        <v>1420.9666115592784</v>
      </c>
      <c r="M106" s="46">
        <f t="shared" si="51"/>
        <v>1740.8054620349124</v>
      </c>
      <c r="N106" s="8"/>
      <c r="O106" s="21">
        <v>3300</v>
      </c>
      <c r="P106" s="44">
        <f t="shared" ref="P106:T106" si="52">IF(P83&lt;500,"FAIL",IF($E$7&gt;0, P26*(0.0952*LN(P83)+0.1663), "FAIL"))</f>
        <v>882.07544097579421</v>
      </c>
      <c r="Q106" s="45">
        <f t="shared" si="52"/>
        <v>1321.0744393572606</v>
      </c>
      <c r="R106" s="45">
        <f t="shared" si="52"/>
        <v>1453.425577101515</v>
      </c>
      <c r="S106" s="45">
        <f t="shared" si="52"/>
        <v>1839.2197987552374</v>
      </c>
      <c r="T106" s="46">
        <f t="shared" si="52"/>
        <v>2160.9744346501288</v>
      </c>
    </row>
    <row r="107" spans="1:20" ht="18.75" x14ac:dyDescent="0.3">
      <c r="A107" s="19">
        <v>3500</v>
      </c>
      <c r="B107" s="47">
        <f t="shared" ref="B107:F107" si="53">IF(B84&lt;500,"FAIL",IF($E$7&gt;0, B27*(0.0952*LN(B84)+0.1663), "FAIL"))</f>
        <v>742.93562270995187</v>
      </c>
      <c r="C107" s="48">
        <f t="shared" si="53"/>
        <v>968.93155010076794</v>
      </c>
      <c r="D107" s="48">
        <f t="shared" si="53"/>
        <v>995.01953357938964</v>
      </c>
      <c r="E107" s="48">
        <f t="shared" si="53"/>
        <v>1281.8778373943983</v>
      </c>
      <c r="F107" s="49">
        <f t="shared" si="53"/>
        <v>1615.1999793346988</v>
      </c>
      <c r="G107" s="20"/>
      <c r="H107" s="19">
        <v>3500</v>
      </c>
      <c r="I107" s="47">
        <f t="shared" ref="I107:M107" si="54">IF(I84&lt;500,"FAIL",IF($E$7&gt;0, I27*(0.0952*LN(I84)+0.1663), "FAIL"))</f>
        <v>853.70309994342642</v>
      </c>
      <c r="J107" s="48">
        <f t="shared" si="54"/>
        <v>1142.2334244442552</v>
      </c>
      <c r="K107" s="48">
        <f t="shared" si="54"/>
        <v>1269.7852074073994</v>
      </c>
      <c r="L107" s="48">
        <f t="shared" si="54"/>
        <v>1513.6007361507391</v>
      </c>
      <c r="M107" s="49">
        <f t="shared" si="54"/>
        <v>1854.5626971664981</v>
      </c>
      <c r="N107" s="8"/>
      <c r="O107" s="19">
        <v>3500</v>
      </c>
      <c r="P107" s="47">
        <f t="shared" ref="P107:T107" si="55">IF(P84&lt;500,"FAIL",IF($E$7&gt;0, P27*(0.0952*LN(P84)+0.1663), "FAIL"))</f>
        <v>939.06542750986921</v>
      </c>
      <c r="Q107" s="48">
        <f t="shared" si="55"/>
        <v>1406.8604994994946</v>
      </c>
      <c r="R107" s="48">
        <f t="shared" si="55"/>
        <v>1547.9184524364225</v>
      </c>
      <c r="S107" s="48">
        <f t="shared" si="55"/>
        <v>1958.7714120790699</v>
      </c>
      <c r="T107" s="49">
        <f t="shared" si="55"/>
        <v>2301.8996404998934</v>
      </c>
    </row>
    <row r="108" spans="1:20" x14ac:dyDescent="0.25">
      <c r="T108" s="95"/>
    </row>
  </sheetData>
  <sheetProtection password="CDBE" sheet="1" objects="1" scenarios="1"/>
  <pageMargins left="0.7" right="0.7" top="0.75" bottom="0.75" header="0.3" footer="0.3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CorelPhotoPaint.Image.11" shapeId="1025" r:id="rId4">
          <objectPr defaultSize="0" r:id="rId5">
            <anchor moveWithCells="1">
              <from>
                <xdr:col>15</xdr:col>
                <xdr:colOff>114300</xdr:colOff>
                <xdr:row>2</xdr:row>
                <xdr:rowOff>38100</xdr:rowOff>
              </from>
              <to>
                <xdr:col>19</xdr:col>
                <xdr:colOff>495300</xdr:colOff>
                <xdr:row>5</xdr:row>
                <xdr:rowOff>133350</xdr:rowOff>
              </to>
            </anchor>
          </objectPr>
        </oleObject>
      </mc:Choice>
      <mc:Fallback>
        <oleObject progId="CorelPhotoPaint.Image.1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workbookViewId="0">
      <selection activeCell="D3" sqref="D3"/>
    </sheetView>
  </sheetViews>
  <sheetFormatPr defaultRowHeight="15" x14ac:dyDescent="0.25"/>
  <cols>
    <col min="1" max="1" width="9.28515625" customWidth="1"/>
    <col min="2" max="2" width="13.140625" customWidth="1"/>
    <col min="3" max="3" width="9.85546875" bestFit="1" customWidth="1"/>
    <col min="4" max="4" width="9.7109375" bestFit="1" customWidth="1"/>
    <col min="5" max="5" width="9.85546875" customWidth="1"/>
    <col min="6" max="6" width="13.7109375" customWidth="1"/>
    <col min="7" max="7" width="13.140625" customWidth="1"/>
    <col min="8" max="8" width="9.42578125" customWidth="1"/>
    <col min="10" max="10" width="9.85546875" customWidth="1"/>
  </cols>
  <sheetData>
    <row r="1" spans="1:20" ht="21" x14ac:dyDescent="0.4">
      <c r="A1" s="23" t="s">
        <v>48</v>
      </c>
      <c r="L1" s="2" t="s">
        <v>82</v>
      </c>
    </row>
    <row r="2" spans="1:20" ht="14.45" x14ac:dyDescent="0.3">
      <c r="A2" t="s">
        <v>45</v>
      </c>
    </row>
    <row r="3" spans="1:20" ht="21" x14ac:dyDescent="0.45">
      <c r="C3" s="5" t="s">
        <v>8</v>
      </c>
      <c r="D3" s="72">
        <v>75</v>
      </c>
      <c r="E3" s="8" t="s">
        <v>69</v>
      </c>
      <c r="H3" s="68">
        <v>1</v>
      </c>
      <c r="I3" s="8" t="s">
        <v>67</v>
      </c>
    </row>
    <row r="4" spans="1:20" ht="21" x14ac:dyDescent="0.45">
      <c r="C4" s="5" t="s">
        <v>9</v>
      </c>
      <c r="D4" s="72">
        <v>65</v>
      </c>
      <c r="E4" s="8" t="s">
        <v>69</v>
      </c>
      <c r="F4" s="5" t="s">
        <v>70</v>
      </c>
      <c r="G4" s="74">
        <v>2</v>
      </c>
      <c r="H4" s="68">
        <v>2</v>
      </c>
      <c r="I4" s="8" t="s">
        <v>86</v>
      </c>
      <c r="J4" s="99"/>
    </row>
    <row r="5" spans="1:20" ht="21.75" x14ac:dyDescent="0.35">
      <c r="C5" s="5" t="s">
        <v>10</v>
      </c>
      <c r="D5" s="72">
        <v>20</v>
      </c>
      <c r="E5" s="8" t="s">
        <v>69</v>
      </c>
      <c r="F5" s="101" t="s">
        <v>87</v>
      </c>
      <c r="H5" s="68">
        <v>3</v>
      </c>
      <c r="I5" s="8" t="s">
        <v>68</v>
      </c>
    </row>
    <row r="6" spans="1:20" x14ac:dyDescent="0.25">
      <c r="F6" s="101" t="s">
        <v>85</v>
      </c>
    </row>
    <row r="7" spans="1:20" ht="20.25" x14ac:dyDescent="0.35">
      <c r="C7" s="6" t="s">
        <v>11</v>
      </c>
      <c r="D7" s="69">
        <f>(D3-D4)/LN((D3-D5)/(D4-D5))</f>
        <v>49.83288654563971</v>
      </c>
      <c r="E7" s="8" t="s">
        <v>0</v>
      </c>
      <c r="F7" s="8"/>
    </row>
    <row r="8" spans="1:20" ht="14.45" hidden="1" x14ac:dyDescent="0.3">
      <c r="B8" t="s">
        <v>46</v>
      </c>
      <c r="G8" t="s">
        <v>46</v>
      </c>
    </row>
    <row r="9" spans="1:20" ht="18" hidden="1" x14ac:dyDescent="0.35">
      <c r="B9" s="27" t="s">
        <v>50</v>
      </c>
      <c r="C9" s="8"/>
      <c r="D9" s="8"/>
      <c r="E9" s="8"/>
      <c r="F9" s="8"/>
      <c r="G9" s="27" t="s">
        <v>51</v>
      </c>
      <c r="H9" s="8"/>
      <c r="I9" s="8"/>
      <c r="J9" s="8"/>
      <c r="L9" s="8"/>
      <c r="M9" s="8"/>
      <c r="N9" s="8"/>
      <c r="O9" s="27"/>
      <c r="P9" s="8"/>
      <c r="Q9" s="8"/>
      <c r="R9" s="8"/>
      <c r="S9" s="8"/>
      <c r="T9" s="8"/>
    </row>
    <row r="10" spans="1:20" ht="18" hidden="1" x14ac:dyDescent="0.35">
      <c r="B10" s="9" t="s">
        <v>1</v>
      </c>
      <c r="C10" s="9"/>
      <c r="D10" s="10" t="s">
        <v>4</v>
      </c>
      <c r="E10" s="55"/>
      <c r="F10" s="39"/>
      <c r="G10" s="25" t="s">
        <v>1</v>
      </c>
      <c r="H10" s="56"/>
      <c r="I10" s="10" t="s">
        <v>4</v>
      </c>
      <c r="J10" s="55"/>
      <c r="L10" s="12"/>
      <c r="M10" s="12"/>
      <c r="N10" s="8"/>
      <c r="O10" s="39"/>
      <c r="P10" s="12"/>
      <c r="Q10" s="12"/>
      <c r="R10" s="39"/>
      <c r="S10" s="12"/>
      <c r="T10" s="12"/>
    </row>
    <row r="11" spans="1:20" ht="18" hidden="1" x14ac:dyDescent="0.35">
      <c r="B11" s="24" t="s">
        <v>2</v>
      </c>
      <c r="C11" s="16">
        <v>260</v>
      </c>
      <c r="D11" s="17">
        <v>290</v>
      </c>
      <c r="E11" s="18">
        <v>340</v>
      </c>
      <c r="F11" s="39"/>
      <c r="G11" s="26" t="s">
        <v>2</v>
      </c>
      <c r="H11" s="16">
        <v>260</v>
      </c>
      <c r="I11" s="17">
        <v>290</v>
      </c>
      <c r="J11" s="18">
        <v>340</v>
      </c>
      <c r="L11" s="39"/>
      <c r="M11" s="39"/>
      <c r="N11" s="8"/>
      <c r="O11" s="39"/>
      <c r="P11" s="39"/>
      <c r="Q11" s="39"/>
      <c r="R11" s="39"/>
      <c r="S11" s="39"/>
      <c r="T11" s="39"/>
    </row>
    <row r="12" spans="1:20" ht="18" hidden="1" x14ac:dyDescent="0.35">
      <c r="B12" s="13">
        <v>1000</v>
      </c>
      <c r="C12" s="77">
        <f>870*$B$40*ABS($D$7/49.833)^$F$29</f>
        <v>869.99791430040875</v>
      </c>
      <c r="D12" s="89">
        <f>1077*$B$40*ABS($D$7/49.833)^$F$32</f>
        <v>1076.997391075819</v>
      </c>
      <c r="E12" s="90">
        <f>1277*$B$40*ABS($D$7/49.833)^$F$35</f>
        <v>1276.996923749188</v>
      </c>
      <c r="F12" s="45"/>
      <c r="G12" s="13">
        <v>1000</v>
      </c>
      <c r="H12" s="77">
        <f>1231.5*$B$40*ABS($D$7/49.833)^$M$29</f>
        <v>1231.4970440114037</v>
      </c>
      <c r="I12" s="89">
        <f>1575.5*$B$40*ABS($D$7/49.833)^$M$32</f>
        <v>1575.496217585471</v>
      </c>
      <c r="J12" s="90">
        <f>1764*$B$40*ABS($D$7/49.833)^$M$35</f>
        <v>1763.9957698594535</v>
      </c>
      <c r="L12" s="45"/>
      <c r="M12" s="45"/>
      <c r="N12" s="8"/>
      <c r="O12" s="12"/>
      <c r="P12" s="45"/>
      <c r="Q12" s="45"/>
      <c r="R12" s="45"/>
      <c r="S12" s="45"/>
      <c r="T12" s="45"/>
    </row>
    <row r="13" spans="1:20" ht="18" hidden="1" x14ac:dyDescent="0.35">
      <c r="B13" s="21">
        <v>1100</v>
      </c>
      <c r="C13" s="78">
        <f>974*$B$40*ABS($D$7/49.833)^$F$29</f>
        <v>973.99766497540008</v>
      </c>
      <c r="D13" s="91">
        <f>1206*$B$40*ABS($D$7/49.833)^$F$32</f>
        <v>1205.9970785862934</v>
      </c>
      <c r="E13" s="92">
        <f>1430*$B$40*ABS($D$7/49.833)^$F$35</f>
        <v>1429.9965551772425</v>
      </c>
      <c r="F13" s="45"/>
      <c r="G13" s="21">
        <v>1100</v>
      </c>
      <c r="H13" s="78">
        <f>1378.5*$B$40*ABS($D$7/49.833)^$M$29</f>
        <v>1378.4966911650183</v>
      </c>
      <c r="I13" s="91">
        <f>1764*$B$40*ABS($D$7/49.833)^$M$32</f>
        <v>1763.9957650401593</v>
      </c>
      <c r="J13" s="92">
        <f>1975.5*$B$40*ABS($D$7/49.833)^$M$35</f>
        <v>1975.4952626742349</v>
      </c>
      <c r="L13" s="45"/>
      <c r="M13" s="45"/>
      <c r="N13" s="8"/>
      <c r="O13" s="12"/>
      <c r="P13" s="45"/>
      <c r="Q13" s="45"/>
      <c r="R13" s="45"/>
      <c r="S13" s="45"/>
      <c r="T13" s="45"/>
    </row>
    <row r="14" spans="1:20" ht="18" hidden="1" x14ac:dyDescent="0.35">
      <c r="B14" s="21">
        <v>1200</v>
      </c>
      <c r="C14" s="78">
        <f>1127*$B$40*ABS($D$7/49.833)^$F$29</f>
        <v>1126.9972981799547</v>
      </c>
      <c r="D14" s="91">
        <f>1333.5*$B$40*ABS($D$7/49.833)^$F$32</f>
        <v>1333.4967697303666</v>
      </c>
      <c r="E14" s="92">
        <f>1657*$B$40*ABS($D$7/49.833)^$F$35</f>
        <v>1656.9960083417418</v>
      </c>
      <c r="F14" s="45"/>
      <c r="G14" s="21">
        <v>1200</v>
      </c>
      <c r="H14" s="78">
        <f>1596*$B$40*ABS($D$7/49.833)^$M$29</f>
        <v>1595.9961690963869</v>
      </c>
      <c r="I14" s="91">
        <f>2043*$B$40*ABS($D$7/49.833)^$M$32</f>
        <v>2042.9950952250824</v>
      </c>
      <c r="J14" s="92">
        <f>2290*$B$40*ABS($D$7/49.833)^$M$35</f>
        <v>2289.9945084910137</v>
      </c>
      <c r="L14" s="45"/>
      <c r="M14" s="45"/>
      <c r="N14" s="8"/>
      <c r="O14" s="12"/>
      <c r="P14" s="45"/>
      <c r="Q14" s="45"/>
      <c r="R14" s="45"/>
      <c r="S14" s="45"/>
      <c r="T14" s="45"/>
    </row>
    <row r="15" spans="1:20" ht="18" hidden="1" x14ac:dyDescent="0.35">
      <c r="B15" s="19">
        <v>1300</v>
      </c>
      <c r="C15" s="79">
        <f>1178*$B$40*ABS($D$7/49.833)^$F$29</f>
        <v>1177.9971759148063</v>
      </c>
      <c r="D15" s="93">
        <f>1460*$B$40*ABS($D$7/49.833)^$F$32</f>
        <v>1459.9964632968392</v>
      </c>
      <c r="E15" s="94">
        <f>1732*$B$40*ABS($D$7/49.833)^$F$35</f>
        <v>1731.9958276692196</v>
      </c>
      <c r="F15" s="45"/>
      <c r="G15" s="19">
        <v>1300</v>
      </c>
      <c r="H15" s="79">
        <f>1668.5*$B$40*ABS($D$7/49.833)^$M$29</f>
        <v>1668.4959950735097</v>
      </c>
      <c r="I15" s="93">
        <f>2136*$B$40*ABS($D$7/49.833)^$M$32</f>
        <v>2135.99487195339</v>
      </c>
      <c r="J15" s="94">
        <f>2393*$B$40*ABS($D$7/49.833)^$M$35</f>
        <v>2392.9942614930114</v>
      </c>
      <c r="L15" s="45"/>
      <c r="M15" s="45"/>
      <c r="N15" s="8"/>
      <c r="O15" s="12"/>
      <c r="P15" s="45"/>
      <c r="Q15" s="45"/>
      <c r="R15" s="45"/>
      <c r="S15" s="45"/>
      <c r="T15" s="45"/>
    </row>
    <row r="16" spans="1:20" ht="18" hidden="1" x14ac:dyDescent="0.35">
      <c r="B16" s="21">
        <v>1400</v>
      </c>
      <c r="C16" s="77">
        <f>1230*$B$40*ABS($D$7/49.833)^$F$29</f>
        <v>1229.9970512523021</v>
      </c>
      <c r="D16" s="89">
        <f>1523*$B$40*ABS($D$7/49.833)^$F$32</f>
        <v>1522.9963106856756</v>
      </c>
      <c r="E16" s="90">
        <f>1807*$B$40*ABS($D$7/49.833)^$F$35</f>
        <v>1806.9956469966974</v>
      </c>
      <c r="F16" s="45"/>
      <c r="G16" s="21">
        <v>1400</v>
      </c>
      <c r="H16" s="77">
        <f>1741*$B$40*ABS($D$7/49.833)^$M$29</f>
        <v>1740.9958210506325</v>
      </c>
      <c r="I16" s="89">
        <f>2229*$B$40*ABS($D$7/49.833)^$M$32</f>
        <v>2228.994648681698</v>
      </c>
      <c r="J16" s="90">
        <f>2496*$B$40*ABS($D$7/49.833)^$M$35</f>
        <v>2495.9940144950087</v>
      </c>
      <c r="L16" s="45"/>
      <c r="M16" s="45"/>
      <c r="N16" s="8"/>
      <c r="O16" s="12"/>
      <c r="P16" s="45"/>
      <c r="Q16" s="45"/>
      <c r="R16" s="45"/>
      <c r="S16" s="45"/>
      <c r="T16" s="45"/>
    </row>
    <row r="17" spans="1:20" ht="18" hidden="1" x14ac:dyDescent="0.35">
      <c r="B17" s="21">
        <v>1500</v>
      </c>
      <c r="C17" s="78">
        <f>1380*$B$40*ABS($D$7/49.833)^$F$29</f>
        <v>1379.9966916489241</v>
      </c>
      <c r="D17" s="91">
        <f>1711*$B$40*ABS($D$7/49.833)^$F$32</f>
        <v>1710.9958552745836</v>
      </c>
      <c r="E17" s="92">
        <f>2028*$B$40*ABS($D$7/49.833)^$F$35</f>
        <v>2027.9951146149986</v>
      </c>
      <c r="F17" s="45"/>
      <c r="G17" s="21">
        <v>1500</v>
      </c>
      <c r="H17" s="78">
        <f>1954.5*$B$40*ABS($D$7/49.833)^$M$29</f>
        <v>1954.4953085832633</v>
      </c>
      <c r="I17" s="91">
        <f>2503*$B$40*ABS($D$7/49.833)^$M$32</f>
        <v>2502.9939908704755</v>
      </c>
      <c r="J17" s="92">
        <f>2805*$B$40*ABS($D$7/49.833)^$M$35</f>
        <v>2804.9932735010016</v>
      </c>
      <c r="L17" s="45"/>
      <c r="M17" s="45"/>
      <c r="N17" s="8"/>
      <c r="O17" s="12"/>
      <c r="P17" s="45"/>
      <c r="Q17" s="45"/>
      <c r="R17" s="45"/>
      <c r="S17" s="45"/>
      <c r="T17" s="45"/>
    </row>
    <row r="18" spans="1:20" ht="18" hidden="1" x14ac:dyDescent="0.35">
      <c r="B18" s="21">
        <v>1700</v>
      </c>
      <c r="C18" s="78">
        <f>1579*$B$40*ABS($D$7/49.833)^$F$29</f>
        <v>1578.9962145751097</v>
      </c>
      <c r="D18" s="91">
        <f>1959*$B$40*ABS($D$7/49.833)^$F$32</f>
        <v>1958.995254519526</v>
      </c>
      <c r="E18" s="92">
        <f>2322.5*$B$40*ABS($D$7/49.833)^$F$35</f>
        <v>2322.4944051742277</v>
      </c>
      <c r="F18" s="45"/>
      <c r="G18" s="21">
        <v>1700</v>
      </c>
      <c r="H18" s="78">
        <f>2236.5*$B$40*ABS($D$7/49.833)^$M$29</f>
        <v>2236.4946316942787</v>
      </c>
      <c r="I18" s="91">
        <f>2866.5*$B$40*ABS($D$7/49.833)^$M$32</f>
        <v>2866.4931181902589</v>
      </c>
      <c r="J18" s="92">
        <f>3211*$B$40*ABS($D$7/49.833)^$M$35</f>
        <v>3210.9922998972252</v>
      </c>
      <c r="L18" s="45"/>
      <c r="M18" s="45"/>
      <c r="N18" s="8"/>
      <c r="O18" s="12"/>
      <c r="P18" s="45"/>
      <c r="Q18" s="45"/>
      <c r="R18" s="45"/>
      <c r="S18" s="45"/>
      <c r="T18" s="45"/>
    </row>
    <row r="19" spans="1:20" ht="18" hidden="1" x14ac:dyDescent="0.35">
      <c r="B19" s="21">
        <v>1900</v>
      </c>
      <c r="C19" s="79">
        <f>1677.5*$B$40*ABS($D$7/49.833)^$F$29</f>
        <v>1677.4959784355581</v>
      </c>
      <c r="D19" s="93">
        <f>2081.5*$B$40*ABS($D$7/49.833)^$F$32</f>
        <v>2081.4949577755965</v>
      </c>
      <c r="E19" s="94">
        <f>2468*$B$40*ABS($D$7/49.833)^$F$35</f>
        <v>2467.9940546695348</v>
      </c>
      <c r="F19" s="45"/>
      <c r="G19" s="21">
        <v>1900</v>
      </c>
      <c r="H19" s="79">
        <f>2377.5*$B$40*ABS($D$7/49.833)^$M$29</f>
        <v>2377.4942932497866</v>
      </c>
      <c r="I19" s="93">
        <f>3046.5*$B$40*ABS($D$7/49.833)^$M$32</f>
        <v>3046.4926860514997</v>
      </c>
      <c r="J19" s="94">
        <f>3413*$B$40*ABS($D$7/49.833)^$M$35</f>
        <v>3412.9918154933757</v>
      </c>
      <c r="L19" s="45"/>
      <c r="M19" s="45"/>
      <c r="N19" s="8"/>
      <c r="O19" s="12"/>
      <c r="P19" s="45"/>
      <c r="Q19" s="45"/>
      <c r="R19" s="45"/>
      <c r="S19" s="45"/>
      <c r="T19" s="45"/>
    </row>
    <row r="20" spans="1:20" ht="18" hidden="1" x14ac:dyDescent="0.35">
      <c r="B20" s="13">
        <v>2100</v>
      </c>
      <c r="C20" s="77">
        <f>1971*$B$40*ABS($D$7/49.833)^$F$29</f>
        <v>1970.9952748116157</v>
      </c>
      <c r="D20" s="89">
        <f>2446.5*$B$40*ABS($D$7/49.833)^$F$32</f>
        <v>2446.4940735998061</v>
      </c>
      <c r="E20" s="90">
        <f>2900*$B$40*ABS($D$7/49.833)^$F$35</f>
        <v>2899.9930139958065</v>
      </c>
      <c r="F20" s="45"/>
      <c r="G20" s="13">
        <v>2100</v>
      </c>
      <c r="H20" s="77">
        <f>2794*$B$40*ABS($D$7/49.833)^$M$29</f>
        <v>2793.9932935183615</v>
      </c>
      <c r="I20" s="89">
        <f>3581*$B$40*ABS($D$7/49.833)^$M$32</f>
        <v>3580.9914028394619</v>
      </c>
      <c r="J20" s="90">
        <f>4013*$B$40*ABS($D$7/49.833)^$M$35</f>
        <v>4012.9903766700604</v>
      </c>
      <c r="L20" s="45"/>
      <c r="M20" s="45"/>
      <c r="N20" s="8"/>
      <c r="O20" s="12"/>
      <c r="P20" s="45"/>
      <c r="Q20" s="45"/>
      <c r="R20" s="45"/>
      <c r="S20" s="45"/>
      <c r="T20" s="45"/>
    </row>
    <row r="21" spans="1:20" ht="18" hidden="1" x14ac:dyDescent="0.35">
      <c r="B21" s="21">
        <v>2300</v>
      </c>
      <c r="C21" s="78">
        <f>2068*$B$40*ABS($D$7/49.833)^$F$29</f>
        <v>2067.9950422680981</v>
      </c>
      <c r="D21" s="91">
        <f>2567*$B$40*ABS($D$7/49.833)^$F$32</f>
        <v>2566.9937817006758</v>
      </c>
      <c r="E21" s="92">
        <f>3043*$B$40*ABS($D$7/49.833)^$F$35</f>
        <v>3042.9926695135309</v>
      </c>
      <c r="F21" s="45"/>
      <c r="G21" s="21">
        <v>2300</v>
      </c>
      <c r="H21" s="78">
        <f>2931.5*$B$40*ABS($D$7/49.833)^$M$29</f>
        <v>2931.4929634749737</v>
      </c>
      <c r="I21" s="91">
        <f>3758*$B$40*ABS($D$7/49.833)^$M$32</f>
        <v>3757.9909779030149</v>
      </c>
      <c r="J21" s="92">
        <f>4211.5*$B$40*ABS($D$7/49.833)^$M$35</f>
        <v>4211.4899006593469</v>
      </c>
      <c r="L21" s="45"/>
      <c r="M21" s="45"/>
      <c r="N21" s="8"/>
      <c r="O21" s="12"/>
      <c r="P21" s="45"/>
      <c r="Q21" s="45"/>
      <c r="R21" s="45"/>
      <c r="S21" s="45"/>
      <c r="T21" s="45"/>
    </row>
    <row r="22" spans="1:20" ht="18" hidden="1" x14ac:dyDescent="0.35">
      <c r="B22" s="21">
        <v>2500</v>
      </c>
      <c r="C22" s="78">
        <f>2356*$B$40*ABS($D$7/49.833)^$F$29</f>
        <v>2355.9943518296127</v>
      </c>
      <c r="D22" s="91">
        <f>2927*$B$40*ABS($D$7/49.833)^$F$32</f>
        <v>2926.9929096368824</v>
      </c>
      <c r="E22" s="92">
        <f>3469*$B$40*ABS($D$7/49.833)^$F$35</f>
        <v>3468.9916432936047</v>
      </c>
      <c r="F22" s="45"/>
      <c r="G22" s="21">
        <v>2500</v>
      </c>
      <c r="H22" s="78">
        <f>3342*$B$40*ABS($D$7/49.833)^$M$29</f>
        <v>3341.9919781454414</v>
      </c>
      <c r="I22" s="91">
        <f>4284.5*$B$40*ABS($D$7/49.833)^$M$32</f>
        <v>4284.4897138971446</v>
      </c>
      <c r="J22" s="92">
        <f>4801.5*$B$40*ABS($D$7/49.833)^$M$35</f>
        <v>4801.4884858164205</v>
      </c>
      <c r="L22" s="45"/>
      <c r="M22" s="45"/>
      <c r="N22" s="8"/>
      <c r="O22" s="12"/>
      <c r="P22" s="45"/>
      <c r="Q22" s="45"/>
      <c r="R22" s="45"/>
      <c r="S22" s="45"/>
      <c r="T22" s="45"/>
    </row>
    <row r="23" spans="1:20" ht="18" hidden="1" x14ac:dyDescent="0.35">
      <c r="B23" s="19">
        <v>2700</v>
      </c>
      <c r="C23" s="79">
        <f>2546*$B$40*ABS($D$7/49.833)^$F$29</f>
        <v>2545.9938963320005</v>
      </c>
      <c r="D23" s="93">
        <f>3165*$B$40*ABS($D$7/49.833)^$F$32</f>
        <v>3164.9923331058194</v>
      </c>
      <c r="E23" s="94">
        <f>3750*$B$40*ABS($D$7/49.833)^$F$35</f>
        <v>3749.9909663738877</v>
      </c>
      <c r="F23" s="45"/>
      <c r="G23" s="19">
        <v>2700</v>
      </c>
      <c r="H23" s="79">
        <f>3613*$B$40*ABS($D$7/49.833)^$M$29</f>
        <v>3612.9913276599282</v>
      </c>
      <c r="I23" s="93">
        <f>4632.5*$B$40*ABS($D$7/49.833)^$M$32</f>
        <v>4632.488878428876</v>
      </c>
      <c r="J23" s="94">
        <f>5192*$B$40*ABS($D$7/49.833)^$M$35</f>
        <v>5191.9875493822465</v>
      </c>
      <c r="L23" s="45"/>
      <c r="M23" s="45"/>
      <c r="N23" s="8"/>
      <c r="O23" s="12"/>
      <c r="P23" s="45"/>
      <c r="Q23" s="45"/>
      <c r="R23" s="45"/>
      <c r="S23" s="45"/>
      <c r="T23" s="45"/>
    </row>
    <row r="24" spans="1:20" ht="18" hidden="1" x14ac:dyDescent="0.35">
      <c r="B24" s="21">
        <v>2900</v>
      </c>
      <c r="C24" s="77">
        <f>2642*$B$40*ABS($D$7/49.833)^$F$29</f>
        <v>2641.9936661858387</v>
      </c>
      <c r="D24" s="89">
        <f>3283*$B$40*ABS($D$7/49.833)^$F$32</f>
        <v>3282.9920472626873</v>
      </c>
      <c r="E24" s="90">
        <f>3890.5*$B$40*ABS($D$7/49.833)^$F$35</f>
        <v>3890.4906279140296</v>
      </c>
      <c r="F24" s="45"/>
      <c r="G24" s="21">
        <v>2900</v>
      </c>
      <c r="H24" s="77">
        <f>3747.5*$B$40*ABS($D$7/49.833)^$M$29</f>
        <v>3747.491004817487</v>
      </c>
      <c r="I24" s="89">
        <f>4806.5*$B$40*ABS($D$7/49.833)^$M$32</f>
        <v>4806.4884606947426</v>
      </c>
      <c r="J24" s="90">
        <f>5386.5*$B$40*ABS($D$7/49.833)^$M$35</f>
        <v>5386.4870829636884</v>
      </c>
      <c r="L24" s="45"/>
      <c r="M24" s="45"/>
      <c r="N24" s="8"/>
      <c r="O24" s="12"/>
      <c r="P24" s="45"/>
      <c r="Q24" s="45"/>
      <c r="R24" s="45"/>
      <c r="S24" s="45"/>
      <c r="T24" s="45"/>
    </row>
    <row r="25" spans="1:20" ht="18" hidden="1" x14ac:dyDescent="0.35">
      <c r="B25" s="21">
        <v>3100</v>
      </c>
      <c r="C25" s="78">
        <f>2831*$B$40*ABS($D$7/49.833)^$F$29</f>
        <v>2830.9932130855827</v>
      </c>
      <c r="D25" s="91">
        <f>3519*$B$40*ABS($D$7/49.833)^$F$32</f>
        <v>3518.991475576423</v>
      </c>
      <c r="E25" s="92">
        <f>4170*$B$40*ABS($D$7/49.833)^$F$35</f>
        <v>4169.9899546077631</v>
      </c>
      <c r="F25" s="45"/>
      <c r="G25" s="21">
        <v>3100</v>
      </c>
      <c r="H25" s="78">
        <f>4016.5*$B$40*ABS($D$7/49.833)^$M$29</f>
        <v>4016.4903591326051</v>
      </c>
      <c r="I25" s="91">
        <f>5150.5*$B$40*ABS($D$7/49.833)^$M$32</f>
        <v>5150.4876348295584</v>
      </c>
      <c r="J25" s="92">
        <f>5774*$B$40*ABS($D$7/49.833)^$M$35</f>
        <v>5773.9861537236302</v>
      </c>
      <c r="L25" s="45"/>
      <c r="M25" s="45"/>
      <c r="N25" s="8"/>
      <c r="O25" s="12"/>
      <c r="P25" s="45"/>
      <c r="Q25" s="45"/>
      <c r="R25" s="45"/>
      <c r="S25" s="45"/>
      <c r="T25" s="45"/>
    </row>
    <row r="26" spans="1:20" ht="18" hidden="1" x14ac:dyDescent="0.35">
      <c r="B26" s="21">
        <v>3300</v>
      </c>
      <c r="C26" s="78">
        <f>3018*$B$40*ABS($D$7/49.833)^$F$29</f>
        <v>3017.9927647800387</v>
      </c>
      <c r="D26" s="91">
        <f>3753*$B$40*ABS($D$7/49.833)^$F$32</f>
        <v>3752.9909087349574</v>
      </c>
      <c r="E26" s="92">
        <f>4447*$B$40*ABS($D$7/49.833)^$F$35</f>
        <v>4446.9892873239141</v>
      </c>
      <c r="F26" s="45"/>
      <c r="G26" s="21">
        <v>3300</v>
      </c>
      <c r="H26" s="78">
        <f>4283.5*$B$40*ABS($D$7/49.833)^$M$29</f>
        <v>4283.4897182483537</v>
      </c>
      <c r="I26" s="91">
        <f>5494*$B$40*ABS($D$7/49.833)^$M$32</f>
        <v>5493.9868101647589</v>
      </c>
      <c r="J26" s="92">
        <f>6159*$B$40*ABS($D$7/49.833)^$M$35</f>
        <v>6158.98523047867</v>
      </c>
      <c r="L26" s="45"/>
      <c r="M26" s="45"/>
      <c r="N26" s="8"/>
      <c r="O26" s="12"/>
      <c r="P26" s="45"/>
      <c r="Q26" s="45"/>
      <c r="R26" s="45"/>
      <c r="S26" s="45"/>
      <c r="T26" s="45"/>
    </row>
    <row r="27" spans="1:20" ht="18" hidden="1" x14ac:dyDescent="0.35">
      <c r="B27" s="19">
        <v>3500</v>
      </c>
      <c r="C27" s="79">
        <f>3205*$B$40*ABS($D$7/49.833)^$F$29</f>
        <v>3204.9923164744941</v>
      </c>
      <c r="D27" s="93">
        <f>3986.5*$B$40*ABS($D$7/49.833)^$F$32</f>
        <v>3986.4903431046914</v>
      </c>
      <c r="E27" s="94">
        <f>4723.5*$B$40*ABS($D$7/49.833)^$F$35</f>
        <v>4723.488621244549</v>
      </c>
      <c r="F27" s="45"/>
      <c r="G27" s="19">
        <v>3500</v>
      </c>
      <c r="H27" s="79">
        <f>4550*$B$40*ABS($D$7/49.833)^$M$29</f>
        <v>4549.989078564261</v>
      </c>
      <c r="I27" s="93">
        <f>5836.5*$B$40*ABS($D$7/49.833)^$M$32</f>
        <v>5836.4859879007308</v>
      </c>
      <c r="J27" s="94">
        <f>6542.5*$B$40*ABS($D$7/49.833)^$M$35</f>
        <v>6542.4843108307678</v>
      </c>
      <c r="L27" s="45"/>
      <c r="M27" s="45"/>
      <c r="N27" s="8"/>
      <c r="O27" s="12"/>
      <c r="P27" s="45"/>
      <c r="Q27" s="45"/>
      <c r="R27" s="45"/>
      <c r="S27" s="45"/>
      <c r="T27" s="45"/>
    </row>
    <row r="28" spans="1:20" ht="18" hidden="1" x14ac:dyDescent="0.35">
      <c r="I28" s="76"/>
      <c r="O28" s="4"/>
      <c r="P28" s="4"/>
      <c r="Q28" s="4"/>
      <c r="R28" s="4"/>
      <c r="S28" s="4"/>
      <c r="T28" s="4"/>
    </row>
    <row r="29" spans="1:20" ht="14.45" hidden="1" x14ac:dyDescent="0.3">
      <c r="A29" t="s">
        <v>52</v>
      </c>
      <c r="F29" s="3">
        <v>1.0529999999999999</v>
      </c>
      <c r="H29" t="s">
        <v>55</v>
      </c>
      <c r="M29" s="3">
        <v>1.0543</v>
      </c>
      <c r="O29" s="4"/>
      <c r="P29" s="4"/>
      <c r="Q29" s="4"/>
      <c r="R29" s="4"/>
      <c r="S29" s="4"/>
      <c r="T29" s="50"/>
    </row>
    <row r="30" spans="1:20" ht="14.45" hidden="1" x14ac:dyDescent="0.3">
      <c r="B30" s="3"/>
      <c r="D30" s="1"/>
      <c r="E30" s="1"/>
      <c r="I30" s="3"/>
      <c r="K30" s="1"/>
      <c r="L30" s="1"/>
      <c r="O30" s="4"/>
      <c r="P30" s="50"/>
      <c r="Q30" s="4"/>
      <c r="R30" s="51"/>
      <c r="S30" s="51"/>
      <c r="T30" s="4"/>
    </row>
    <row r="31" spans="1:20" ht="14.45" hidden="1" x14ac:dyDescent="0.3">
      <c r="O31" s="4"/>
      <c r="P31" s="4"/>
      <c r="Q31" s="4"/>
      <c r="R31" s="4"/>
      <c r="S31" s="4"/>
      <c r="T31" s="4"/>
    </row>
    <row r="32" spans="1:20" ht="14.45" hidden="1" x14ac:dyDescent="0.3">
      <c r="A32" t="s">
        <v>53</v>
      </c>
      <c r="F32" s="3">
        <v>1.0640000000000001</v>
      </c>
      <c r="H32" t="s">
        <v>56</v>
      </c>
      <c r="M32" s="3">
        <v>1.0545</v>
      </c>
      <c r="O32" s="4"/>
      <c r="P32" s="4"/>
      <c r="Q32" s="4"/>
      <c r="R32" s="4"/>
      <c r="S32" s="4"/>
      <c r="T32" s="50"/>
    </row>
    <row r="33" spans="1:20" ht="14.45" hidden="1" x14ac:dyDescent="0.3">
      <c r="B33" s="3"/>
      <c r="D33" s="1"/>
      <c r="E33" s="1"/>
      <c r="I33" s="3"/>
      <c r="K33" s="1"/>
      <c r="L33" s="1"/>
      <c r="O33" s="4"/>
      <c r="P33" s="50"/>
      <c r="Q33" s="4"/>
      <c r="R33" s="51"/>
      <c r="S33" s="51"/>
      <c r="T33" s="4"/>
    </row>
    <row r="34" spans="1:20" ht="14.45" hidden="1" x14ac:dyDescent="0.3">
      <c r="O34" s="4"/>
      <c r="P34" s="4"/>
      <c r="Q34" s="4"/>
      <c r="R34" s="4"/>
      <c r="S34" s="4"/>
      <c r="T34" s="4"/>
    </row>
    <row r="35" spans="1:20" ht="14.45" hidden="1" x14ac:dyDescent="0.3">
      <c r="A35" t="s">
        <v>54</v>
      </c>
      <c r="F35" s="3">
        <v>1.0581</v>
      </c>
      <c r="H35" t="s">
        <v>57</v>
      </c>
      <c r="M35" s="3">
        <v>1.0532999999999999</v>
      </c>
      <c r="O35" s="4"/>
      <c r="P35" s="4"/>
      <c r="Q35" s="4"/>
      <c r="R35" s="4"/>
      <c r="S35" s="4"/>
      <c r="T35" s="50"/>
    </row>
    <row r="36" spans="1:20" ht="14.45" hidden="1" x14ac:dyDescent="0.3">
      <c r="B36" s="3"/>
      <c r="D36" s="1"/>
      <c r="E36" s="1"/>
      <c r="I36" s="3"/>
      <c r="K36" s="1"/>
      <c r="L36" s="1"/>
      <c r="O36" s="4"/>
      <c r="P36" s="50"/>
      <c r="Q36" s="4"/>
      <c r="R36" s="51"/>
      <c r="S36" s="51"/>
      <c r="T36" s="4"/>
    </row>
    <row r="37" spans="1:20" ht="14.45" hidden="1" x14ac:dyDescent="0.3">
      <c r="O37" s="4"/>
      <c r="P37" s="4"/>
      <c r="Q37" s="4"/>
      <c r="R37" s="4"/>
      <c r="S37" s="4"/>
      <c r="T37" s="4"/>
    </row>
    <row r="38" spans="1:20" ht="14.45" hidden="1" x14ac:dyDescent="0.3">
      <c r="F38" s="3"/>
      <c r="M38" s="3"/>
      <c r="O38" s="4"/>
      <c r="P38" s="4"/>
      <c r="Q38" s="4"/>
      <c r="R38" s="4"/>
      <c r="S38" s="4"/>
      <c r="T38" s="50"/>
    </row>
    <row r="39" spans="1:20" ht="14.45" hidden="1" x14ac:dyDescent="0.3">
      <c r="B39" s="3"/>
      <c r="D39" s="1"/>
      <c r="E39" s="1"/>
      <c r="I39" s="3"/>
      <c r="K39" s="1"/>
      <c r="L39" s="1"/>
      <c r="O39" s="4"/>
      <c r="P39" s="50"/>
      <c r="Q39" s="4"/>
      <c r="R39" s="51"/>
      <c r="S39" s="51"/>
      <c r="T39" s="4"/>
    </row>
    <row r="40" spans="1:20" ht="14.45" hidden="1" x14ac:dyDescent="0.3">
      <c r="A40" t="s">
        <v>71</v>
      </c>
      <c r="B40" s="70">
        <f>IF(G4=1,0.76,IF(G4=2,1,IF(G4=3,1.26,0)))</f>
        <v>1</v>
      </c>
      <c r="O40" s="4"/>
      <c r="P40" s="4"/>
      <c r="Q40" s="4"/>
      <c r="R40" s="4"/>
      <c r="S40" s="4"/>
      <c r="T40" s="4"/>
    </row>
    <row r="41" spans="1:20" ht="14.45" hidden="1" x14ac:dyDescent="0.3">
      <c r="F41" s="3"/>
      <c r="M41" s="3"/>
      <c r="O41" s="4"/>
      <c r="P41" s="4"/>
      <c r="Q41" s="4"/>
      <c r="R41" s="4"/>
      <c r="S41" s="4"/>
      <c r="T41" s="50"/>
    </row>
    <row r="42" spans="1:20" ht="14.45" hidden="1" x14ac:dyDescent="0.3">
      <c r="B42" s="3"/>
      <c r="D42" s="1"/>
      <c r="E42" s="1"/>
      <c r="I42" s="3"/>
      <c r="K42" s="1"/>
      <c r="L42" s="1"/>
      <c r="O42" s="4"/>
      <c r="P42" s="50"/>
      <c r="Q42" s="4"/>
      <c r="R42" s="51"/>
      <c r="S42" s="51"/>
      <c r="T42" s="4"/>
    </row>
    <row r="43" spans="1:20" ht="14.45" hidden="1" x14ac:dyDescent="0.3">
      <c r="O43" s="4"/>
      <c r="P43" s="4"/>
      <c r="Q43" s="4"/>
      <c r="R43" s="4"/>
      <c r="S43" s="4"/>
      <c r="T43" s="4"/>
    </row>
    <row r="44" spans="1:20" ht="15.6" hidden="1" x14ac:dyDescent="0.35">
      <c r="A44" s="2" t="s">
        <v>30</v>
      </c>
      <c r="B44">
        <v>0.24</v>
      </c>
      <c r="H44" s="2" t="s">
        <v>30</v>
      </c>
      <c r="I44">
        <v>0.24</v>
      </c>
      <c r="O44" s="52"/>
      <c r="P44" s="4"/>
      <c r="Q44" s="4"/>
      <c r="R44" s="4"/>
      <c r="S44" s="4"/>
      <c r="T44" s="4"/>
    </row>
    <row r="45" spans="1:20" ht="14.45" hidden="1" x14ac:dyDescent="0.3">
      <c r="O45" s="4"/>
      <c r="P45" s="4"/>
      <c r="Q45" s="4"/>
      <c r="R45" s="4"/>
      <c r="S45" s="4"/>
      <c r="T45" s="4"/>
    </row>
    <row r="46" spans="1:20" ht="14.45" hidden="1" x14ac:dyDescent="0.3">
      <c r="A46" s="2" t="s">
        <v>32</v>
      </c>
      <c r="B46">
        <v>15</v>
      </c>
      <c r="D46" t="s">
        <v>75</v>
      </c>
      <c r="H46" s="2" t="s">
        <v>32</v>
      </c>
      <c r="I46">
        <v>15</v>
      </c>
      <c r="O46" s="52"/>
      <c r="P46" s="4"/>
      <c r="Q46" s="4"/>
      <c r="R46" s="4"/>
      <c r="S46" s="4"/>
      <c r="T46" s="4"/>
    </row>
    <row r="47" spans="1:20" ht="14.45" hidden="1" x14ac:dyDescent="0.3">
      <c r="O47" s="4"/>
      <c r="P47" s="4"/>
      <c r="Q47" s="4"/>
      <c r="R47" s="4"/>
      <c r="S47" s="4"/>
      <c r="T47" s="4"/>
    </row>
    <row r="48" spans="1:20" ht="14.45" hidden="1" x14ac:dyDescent="0.3">
      <c r="A48" t="s">
        <v>47</v>
      </c>
      <c r="D48">
        <v>1</v>
      </c>
      <c r="H48" t="s">
        <v>47</v>
      </c>
      <c r="K48">
        <v>1</v>
      </c>
      <c r="O48" s="4"/>
      <c r="P48" s="4"/>
      <c r="Q48" s="4"/>
      <c r="R48" s="4"/>
      <c r="S48" s="4"/>
      <c r="T48" s="4"/>
    </row>
    <row r="49" spans="8:20" ht="14.45" hidden="1" x14ac:dyDescent="0.3">
      <c r="O49" s="4"/>
      <c r="P49" s="4"/>
      <c r="Q49" s="4"/>
      <c r="R49" s="4"/>
      <c r="S49" s="4"/>
      <c r="T49" s="4"/>
    </row>
    <row r="50" spans="8:20" ht="14.45" hidden="1" x14ac:dyDescent="0.3">
      <c r="H50" s="22" t="s">
        <v>33</v>
      </c>
      <c r="O50" s="4"/>
      <c r="P50" s="4"/>
      <c r="Q50" s="4"/>
      <c r="R50" s="4"/>
      <c r="S50" s="4"/>
      <c r="T50" s="4"/>
    </row>
    <row r="51" spans="8:20" ht="14.45" hidden="1" x14ac:dyDescent="0.3">
      <c r="O51" s="4"/>
      <c r="P51" s="4"/>
      <c r="Q51" s="4"/>
      <c r="R51" s="4"/>
      <c r="S51" s="4"/>
      <c r="T51" s="4"/>
    </row>
    <row r="52" spans="8:20" ht="14.45" hidden="1" x14ac:dyDescent="0.3">
      <c r="H52" s="29" t="s">
        <v>39</v>
      </c>
      <c r="I52" s="28"/>
      <c r="J52" s="29" t="s">
        <v>31</v>
      </c>
      <c r="O52" s="4"/>
      <c r="P52" s="4"/>
      <c r="Q52" s="4"/>
      <c r="R52" s="4"/>
      <c r="S52" s="4"/>
      <c r="T52" s="4"/>
    </row>
    <row r="53" spans="8:20" ht="14.45" hidden="1" x14ac:dyDescent="0.3">
      <c r="O53" s="4"/>
      <c r="P53" s="4"/>
      <c r="Q53" s="4"/>
      <c r="R53" s="4"/>
      <c r="S53" s="4"/>
      <c r="T53" s="4"/>
    </row>
    <row r="54" spans="8:20" ht="14.45" hidden="1" x14ac:dyDescent="0.3">
      <c r="H54" s="29" t="s">
        <v>40</v>
      </c>
      <c r="J54" s="29" t="s">
        <v>34</v>
      </c>
      <c r="O54" s="4"/>
      <c r="P54" s="4"/>
      <c r="Q54" s="4"/>
      <c r="R54" s="4"/>
      <c r="S54" s="4"/>
      <c r="T54" s="4"/>
    </row>
    <row r="55" spans="8:20" ht="14.45" hidden="1" x14ac:dyDescent="0.3">
      <c r="O55" s="4"/>
      <c r="P55" s="4"/>
      <c r="Q55" s="4"/>
      <c r="R55" s="4"/>
      <c r="S55" s="4"/>
      <c r="T55" s="4"/>
    </row>
    <row r="56" spans="8:20" ht="14.45" hidden="1" x14ac:dyDescent="0.3">
      <c r="H56" s="29" t="s">
        <v>41</v>
      </c>
      <c r="J56" s="29" t="s">
        <v>35</v>
      </c>
      <c r="O56" s="4"/>
      <c r="P56" s="4"/>
      <c r="Q56" s="4"/>
      <c r="R56" s="4"/>
      <c r="S56" s="4"/>
      <c r="T56" s="4"/>
    </row>
    <row r="57" spans="8:20" ht="14.45" hidden="1" x14ac:dyDescent="0.3">
      <c r="O57" s="4"/>
      <c r="P57" s="4"/>
      <c r="Q57" s="4"/>
      <c r="R57" s="4"/>
      <c r="S57" s="4"/>
      <c r="T57" s="4"/>
    </row>
    <row r="58" spans="8:20" ht="14.45" hidden="1" x14ac:dyDescent="0.3">
      <c r="H58" s="29" t="s">
        <v>42</v>
      </c>
      <c r="J58" s="29" t="s">
        <v>36</v>
      </c>
      <c r="O58" s="4"/>
      <c r="P58" s="4"/>
      <c r="Q58" s="4"/>
      <c r="R58" s="4"/>
      <c r="S58" s="4"/>
      <c r="T58" s="4"/>
    </row>
    <row r="59" spans="8:20" ht="14.45" hidden="1" x14ac:dyDescent="0.3">
      <c r="O59" s="4"/>
      <c r="P59" s="4"/>
      <c r="Q59" s="4"/>
      <c r="R59" s="4"/>
      <c r="S59" s="4"/>
      <c r="T59" s="4"/>
    </row>
    <row r="60" spans="8:20" ht="14.45" hidden="1" x14ac:dyDescent="0.3">
      <c r="H60" s="29" t="s">
        <v>43</v>
      </c>
      <c r="J60" s="29" t="s">
        <v>37</v>
      </c>
      <c r="O60" s="4"/>
      <c r="P60" s="4"/>
      <c r="Q60" s="4"/>
      <c r="R60" s="4"/>
      <c r="S60" s="4"/>
      <c r="T60" s="4"/>
    </row>
    <row r="61" spans="8:20" ht="14.45" hidden="1" x14ac:dyDescent="0.3">
      <c r="O61" s="4"/>
      <c r="P61" s="4"/>
      <c r="Q61" s="4"/>
      <c r="R61" s="4"/>
      <c r="S61" s="4"/>
      <c r="T61" s="4"/>
    </row>
    <row r="62" spans="8:20" ht="14.45" hidden="1" x14ac:dyDescent="0.3">
      <c r="H62" s="29" t="s">
        <v>44</v>
      </c>
      <c r="J62" s="29" t="s">
        <v>38</v>
      </c>
      <c r="O62" s="4"/>
      <c r="P62" s="4"/>
      <c r="Q62" s="4"/>
      <c r="R62" s="4"/>
      <c r="S62" s="4"/>
      <c r="T62" s="4"/>
    </row>
    <row r="63" spans="8:20" ht="14.45" hidden="1" x14ac:dyDescent="0.3">
      <c r="H63" s="29"/>
      <c r="J63" s="29"/>
      <c r="O63" s="4"/>
      <c r="P63" s="4"/>
      <c r="Q63" s="4"/>
      <c r="R63" s="4"/>
      <c r="S63" s="4"/>
      <c r="T63" s="4"/>
    </row>
    <row r="64" spans="8:20" ht="14.45" hidden="1" x14ac:dyDescent="0.3">
      <c r="H64" s="29"/>
      <c r="J64" s="29"/>
      <c r="O64" s="4"/>
      <c r="P64" s="4"/>
      <c r="Q64" s="4"/>
      <c r="R64" s="4"/>
      <c r="S64" s="4"/>
      <c r="T64" s="4"/>
    </row>
    <row r="65" spans="2:20" ht="14.45" hidden="1" x14ac:dyDescent="0.3">
      <c r="B65" t="s">
        <v>49</v>
      </c>
      <c r="G65" t="s">
        <v>49</v>
      </c>
      <c r="I65" s="29"/>
      <c r="J65" s="4"/>
      <c r="K65" s="4"/>
      <c r="L65" s="4"/>
      <c r="O65" s="4"/>
      <c r="P65" s="4"/>
      <c r="Q65" s="4"/>
      <c r="R65" s="4"/>
      <c r="S65" s="4"/>
      <c r="T65" s="4"/>
    </row>
    <row r="66" spans="2:20" ht="18" hidden="1" x14ac:dyDescent="0.35">
      <c r="B66" s="27" t="s">
        <v>50</v>
      </c>
      <c r="C66" s="8"/>
      <c r="D66" s="8"/>
      <c r="E66" s="8"/>
      <c r="F66" s="8"/>
      <c r="G66" s="27" t="s">
        <v>51</v>
      </c>
      <c r="H66" s="8"/>
      <c r="I66" s="8"/>
      <c r="J66" s="58"/>
      <c r="K66" s="12"/>
      <c r="L66" s="12"/>
      <c r="N66" s="8"/>
      <c r="O66" s="53"/>
      <c r="P66" s="12"/>
      <c r="Q66" s="12"/>
      <c r="R66" s="12"/>
      <c r="S66" s="12"/>
      <c r="T66" s="12"/>
    </row>
    <row r="67" spans="2:20" ht="18" hidden="1" x14ac:dyDescent="0.35">
      <c r="B67" s="9" t="s">
        <v>1</v>
      </c>
      <c r="C67" s="9"/>
      <c r="D67" s="10" t="s">
        <v>4</v>
      </c>
      <c r="E67" s="55"/>
      <c r="F67" s="39"/>
      <c r="G67" s="25" t="s">
        <v>1</v>
      </c>
      <c r="H67" s="14"/>
      <c r="I67" s="10" t="s">
        <v>4</v>
      </c>
      <c r="K67" s="54"/>
      <c r="L67" s="12"/>
      <c r="N67" s="8"/>
      <c r="O67" s="39"/>
      <c r="P67" s="12"/>
      <c r="Q67" s="12"/>
      <c r="R67" s="39"/>
      <c r="S67" s="12"/>
      <c r="T67" s="12"/>
    </row>
    <row r="68" spans="2:20" ht="18" hidden="1" x14ac:dyDescent="0.35">
      <c r="B68" s="24" t="s">
        <v>2</v>
      </c>
      <c r="C68" s="16">
        <v>260</v>
      </c>
      <c r="D68" s="17">
        <v>290</v>
      </c>
      <c r="E68" s="18">
        <v>340</v>
      </c>
      <c r="F68" s="39"/>
      <c r="G68" s="26" t="s">
        <v>2</v>
      </c>
      <c r="H68" s="17">
        <v>260</v>
      </c>
      <c r="I68" s="17">
        <v>290</v>
      </c>
      <c r="J68" s="17">
        <v>340</v>
      </c>
      <c r="K68" s="24"/>
      <c r="L68" s="39"/>
      <c r="N68" s="8"/>
      <c r="O68" s="39"/>
      <c r="P68" s="39"/>
      <c r="Q68" s="39"/>
      <c r="R68" s="39"/>
      <c r="S68" s="39"/>
      <c r="T68" s="39"/>
    </row>
    <row r="69" spans="2:20" ht="18" hidden="1" x14ac:dyDescent="0.35">
      <c r="B69" s="13">
        <v>1000</v>
      </c>
      <c r="C69" s="30">
        <f t="shared" ref="C69:E84" si="0">ABS((C12/($D$3-$D$4)/1.163)*4/(3.143*$B$46^2)/3.6)*($B$46/1000)/(0.000001*(-0.000001568*(ABS($D$3+$D$4)/2)^3+0.0003846*(ABS($D$3+$D$4)/2)^2-0.03584*(ABS($D$3+$D$4)/2)+1.577))+0.1663</f>
        <v>4249.2977331393313</v>
      </c>
      <c r="D69" s="31">
        <f>ABS((D12/($D$3-$D$4)/1.163)*4/(3.143*11^2)/3.6)*(11/1000)/(0.000001*(-0.000001568*(ABS($D$3+$D$4)/2)^3+0.0003846*(ABS($D$3+$D$4)/2)^2-0.03584*(ABS($D$3+$D$4)/2)+1.577))+0.1663</f>
        <v>7173.0729440180521</v>
      </c>
      <c r="E69" s="32">
        <f t="shared" si="0"/>
        <v>6237.1097219715521</v>
      </c>
      <c r="F69" s="34"/>
      <c r="G69" s="21">
        <v>1000</v>
      </c>
      <c r="H69" s="30">
        <f t="shared" ref="H69:J84" si="1">ABS((H12/($D$3-$D$4)/1.163)*4/(3.143*$I$46^2)/3.6)*($I$46/1000)/(0.000001*(-0.000001568*(($D$3+$D$4)/2)^3+0.0003846*(($D$3+$D$4)/2)^2-0.03584*(($D$3+$D$4)/2)+1.577))+0.1663</f>
        <v>6014.8850866937255</v>
      </c>
      <c r="I69" s="31">
        <f t="shared" si="1"/>
        <v>7695.0014149988538</v>
      </c>
      <c r="J69" s="31">
        <f t="shared" si="1"/>
        <v>8615.6465792394447</v>
      </c>
      <c r="K69" s="33"/>
      <c r="L69" s="34"/>
      <c r="N69" s="8"/>
      <c r="O69" s="12"/>
      <c r="P69" s="34"/>
      <c r="Q69" s="34"/>
      <c r="R69" s="34"/>
      <c r="S69" s="34"/>
      <c r="T69" s="34"/>
    </row>
    <row r="70" spans="2:20" ht="18" hidden="1" x14ac:dyDescent="0.35">
      <c r="B70" s="21">
        <v>1100</v>
      </c>
      <c r="C70" s="33">
        <f t="shared" si="0"/>
        <v>4757.2398814686312</v>
      </c>
      <c r="D70" s="34">
        <f t="shared" ref="D70:D84" si="2">ABS((D13/($D$3-$D$4)/1.163)*4/(3.143*11^2)/3.6)*(11/1000)/(0.000001*(-0.000001568*(ABS($D$3+$D$4)/2)^3+0.0003846*(ABS($D$3+$D$4)/2)^2-0.03584*(ABS($D$3+$D$4)/2)+1.577))+0.1663</f>
        <v>8032.2233219923601</v>
      </c>
      <c r="E70" s="35">
        <f t="shared" si="0"/>
        <v>6984.3707584332979</v>
      </c>
      <c r="F70" s="34"/>
      <c r="G70" s="21">
        <v>1100</v>
      </c>
      <c r="H70" s="33">
        <f t="shared" si="1"/>
        <v>6732.8417749957798</v>
      </c>
      <c r="I70" s="34">
        <f t="shared" si="1"/>
        <v>8615.6465557016709</v>
      </c>
      <c r="J70" s="34">
        <f t="shared" si="1"/>
        <v>9648.6250821074391</v>
      </c>
      <c r="K70" s="33"/>
      <c r="L70" s="34"/>
      <c r="N70" s="8"/>
      <c r="O70" s="12"/>
      <c r="P70" s="34"/>
      <c r="Q70" s="34"/>
      <c r="R70" s="34"/>
      <c r="S70" s="34"/>
      <c r="T70" s="34"/>
    </row>
    <row r="71" spans="2:20" ht="18" hidden="1" x14ac:dyDescent="0.35">
      <c r="B71" s="21">
        <v>1200</v>
      </c>
      <c r="C71" s="33">
        <f t="shared" si="0"/>
        <v>5504.5009266069264</v>
      </c>
      <c r="D71" s="34">
        <f t="shared" si="2"/>
        <v>8881.3835792925474</v>
      </c>
      <c r="E71" s="35">
        <f t="shared" si="0"/>
        <v>8093.0521654713093</v>
      </c>
      <c r="F71" s="34"/>
      <c r="G71" s="21">
        <v>1200</v>
      </c>
      <c r="H71" s="33">
        <f t="shared" si="1"/>
        <v>7795.1246301365709</v>
      </c>
      <c r="I71" s="34">
        <f t="shared" si="1"/>
        <v>9978.2990451238729</v>
      </c>
      <c r="J71" s="34">
        <f t="shared" si="1"/>
        <v>11184.661673842589</v>
      </c>
      <c r="K71" s="33"/>
      <c r="L71" s="34"/>
      <c r="N71" s="8"/>
      <c r="O71" s="12"/>
      <c r="P71" s="34"/>
      <c r="Q71" s="34"/>
      <c r="R71" s="34"/>
      <c r="S71" s="34"/>
      <c r="T71" s="34"/>
    </row>
    <row r="72" spans="2:20" ht="18" hidden="1" x14ac:dyDescent="0.35">
      <c r="B72" s="21">
        <v>1300</v>
      </c>
      <c r="C72" s="33">
        <f t="shared" si="0"/>
        <v>5753.5879416530261</v>
      </c>
      <c r="D72" s="37">
        <f t="shared" si="2"/>
        <v>9723.8837561433193</v>
      </c>
      <c r="E72" s="35">
        <f t="shared" si="0"/>
        <v>8459.3565951094224</v>
      </c>
      <c r="F72" s="34"/>
      <c r="G72" s="21">
        <v>1300</v>
      </c>
      <c r="H72" s="33">
        <f t="shared" si="1"/>
        <v>8149.2189151835009</v>
      </c>
      <c r="I72" s="34">
        <f t="shared" si="1"/>
        <v>10432.516541597939</v>
      </c>
      <c r="J72" s="34">
        <f t="shared" si="1"/>
        <v>11687.719762709747</v>
      </c>
      <c r="K72" s="33"/>
      <c r="L72" s="34"/>
      <c r="N72" s="8"/>
      <c r="O72" s="12"/>
      <c r="P72" s="34"/>
      <c r="Q72" s="34"/>
      <c r="R72" s="34"/>
      <c r="S72" s="34"/>
      <c r="T72" s="34"/>
    </row>
    <row r="73" spans="2:20" ht="18" hidden="1" x14ac:dyDescent="0.35">
      <c r="B73" s="13">
        <v>1400</v>
      </c>
      <c r="C73" s="30">
        <f t="shared" si="0"/>
        <v>6007.5590158176765</v>
      </c>
      <c r="D73" s="31">
        <f t="shared" si="2"/>
        <v>10143.468824456357</v>
      </c>
      <c r="E73" s="32">
        <f t="shared" si="0"/>
        <v>8825.6610247475292</v>
      </c>
      <c r="F73" s="34"/>
      <c r="G73" s="13">
        <v>1400</v>
      </c>
      <c r="H73" s="30">
        <f t="shared" si="1"/>
        <v>8503.3132002304337</v>
      </c>
      <c r="I73" s="31">
        <f t="shared" si="1"/>
        <v>10886.734038072007</v>
      </c>
      <c r="J73" s="31">
        <f t="shared" si="1"/>
        <v>12190.777851576899</v>
      </c>
      <c r="K73" s="33"/>
      <c r="L73" s="34"/>
      <c r="N73" s="8"/>
      <c r="O73" s="12"/>
      <c r="P73" s="34"/>
      <c r="Q73" s="34"/>
      <c r="R73" s="34"/>
      <c r="S73" s="34"/>
      <c r="T73" s="34"/>
    </row>
    <row r="74" spans="2:20" ht="18" hidden="1" x14ac:dyDescent="0.35">
      <c r="B74" s="21">
        <v>1500</v>
      </c>
      <c r="C74" s="33">
        <f t="shared" si="0"/>
        <v>6740.1678836003175</v>
      </c>
      <c r="D74" s="34">
        <f t="shared" si="2"/>
        <v>11395.563948946045</v>
      </c>
      <c r="E74" s="35">
        <f t="shared" si="0"/>
        <v>9905.0380774144942</v>
      </c>
      <c r="F74" s="34"/>
      <c r="G74" s="21">
        <v>1500</v>
      </c>
      <c r="H74" s="33">
        <f t="shared" si="1"/>
        <v>9546.0598189548455</v>
      </c>
      <c r="I74" s="34">
        <f t="shared" si="1"/>
        <v>12224.966231984854</v>
      </c>
      <c r="J74" s="34">
        <f t="shared" si="1"/>
        <v>13699.952118178366</v>
      </c>
      <c r="K74" s="33"/>
      <c r="L74" s="34"/>
      <c r="N74" s="8"/>
      <c r="O74" s="12"/>
      <c r="P74" s="34"/>
      <c r="Q74" s="34"/>
      <c r="R74" s="34"/>
      <c r="S74" s="34"/>
      <c r="T74" s="34"/>
    </row>
    <row r="75" spans="2:20" ht="18" hidden="1" x14ac:dyDescent="0.35">
      <c r="B75" s="21">
        <v>1700</v>
      </c>
      <c r="C75" s="33">
        <f t="shared" si="0"/>
        <v>7712.0956481919611</v>
      </c>
      <c r="D75" s="34">
        <f t="shared" si="2"/>
        <v>13047.263900400525</v>
      </c>
      <c r="E75" s="35">
        <f t="shared" si="0"/>
        <v>11343.393471126807</v>
      </c>
      <c r="F75" s="34"/>
      <c r="G75" s="21">
        <v>1700</v>
      </c>
      <c r="H75" s="33">
        <f t="shared" si="1"/>
        <v>10923.364486309798</v>
      </c>
      <c r="I75" s="34">
        <f t="shared" si="1"/>
        <v>14000.321715515214</v>
      </c>
      <c r="J75" s="34">
        <f t="shared" si="1"/>
        <v>15682.8801189557</v>
      </c>
      <c r="K75" s="33"/>
      <c r="L75" s="34"/>
      <c r="N75" s="8"/>
      <c r="O75" s="12"/>
      <c r="P75" s="34"/>
      <c r="Q75" s="34"/>
      <c r="R75" s="34"/>
      <c r="S75" s="34"/>
      <c r="T75" s="34"/>
    </row>
    <row r="76" spans="2:20" ht="18" hidden="1" x14ac:dyDescent="0.35">
      <c r="B76" s="19">
        <v>1900</v>
      </c>
      <c r="C76" s="36">
        <f t="shared" si="0"/>
        <v>8193.1754713692317</v>
      </c>
      <c r="D76" s="37">
        <f t="shared" si="2"/>
        <v>13863.123755453646</v>
      </c>
      <c r="E76" s="38">
        <f t="shared" si="0"/>
        <v>12054.024064624742</v>
      </c>
      <c r="F76" s="34"/>
      <c r="G76" s="19">
        <v>1900</v>
      </c>
      <c r="H76" s="36">
        <f t="shared" si="1"/>
        <v>11612.016819987279</v>
      </c>
      <c r="I76" s="37">
        <f t="shared" si="1"/>
        <v>14879.452353852119</v>
      </c>
      <c r="J76" s="37">
        <f t="shared" si="1"/>
        <v>16669.460060229154</v>
      </c>
      <c r="K76" s="33"/>
      <c r="L76" s="34"/>
      <c r="N76" s="8"/>
      <c r="O76" s="12"/>
      <c r="P76" s="34"/>
      <c r="Q76" s="34"/>
      <c r="R76" s="34"/>
      <c r="S76" s="34"/>
      <c r="T76" s="34"/>
    </row>
    <row r="77" spans="2:20" ht="18" hidden="1" x14ac:dyDescent="0.35">
      <c r="B77" s="21">
        <v>2100</v>
      </c>
      <c r="C77" s="33">
        <f t="shared" si="0"/>
        <v>9626.6468226639372</v>
      </c>
      <c r="D77" s="31">
        <f t="shared" si="2"/>
        <v>16294.053119489476</v>
      </c>
      <c r="E77" s="35">
        <f t="shared" si="0"/>
        <v>14163.937579340252</v>
      </c>
      <c r="F77" s="34"/>
      <c r="G77" s="21">
        <v>2100</v>
      </c>
      <c r="H77" s="33">
        <f t="shared" si="1"/>
        <v>13646.227436843099</v>
      </c>
      <c r="I77" s="34">
        <f t="shared" si="1"/>
        <v>17489.981943802544</v>
      </c>
      <c r="J77" s="34">
        <f t="shared" si="1"/>
        <v>19599.895529358211</v>
      </c>
      <c r="K77" s="33"/>
      <c r="L77" s="34"/>
      <c r="N77" s="8"/>
      <c r="O77" s="12"/>
      <c r="P77" s="34"/>
      <c r="Q77" s="34"/>
      <c r="R77" s="34"/>
      <c r="S77" s="34"/>
      <c r="T77" s="34"/>
    </row>
    <row r="78" spans="2:20" ht="18" hidden="1" x14ac:dyDescent="0.35">
      <c r="B78" s="21">
        <v>2300</v>
      </c>
      <c r="C78" s="33">
        <f t="shared" si="0"/>
        <v>10100.400557163375</v>
      </c>
      <c r="D78" s="34">
        <f t="shared" si="2"/>
        <v>17096.592813643772</v>
      </c>
      <c r="E78" s="35">
        <f t="shared" si="0"/>
        <v>14862.358025183585</v>
      </c>
      <c r="F78" s="34"/>
      <c r="G78" s="21">
        <v>2300</v>
      </c>
      <c r="H78" s="33">
        <f t="shared" si="1"/>
        <v>14317.785563656242</v>
      </c>
      <c r="I78" s="34">
        <f t="shared" si="1"/>
        <v>18354.460404833833</v>
      </c>
      <c r="J78" s="34">
        <f t="shared" si="1"/>
        <v>20569.381263728414</v>
      </c>
      <c r="K78" s="33"/>
      <c r="L78" s="34"/>
      <c r="N78" s="8"/>
      <c r="O78" s="12"/>
      <c r="P78" s="34"/>
      <c r="Q78" s="34"/>
      <c r="R78" s="34"/>
      <c r="S78" s="34"/>
      <c r="T78" s="34"/>
    </row>
    <row r="79" spans="2:20" ht="18" hidden="1" x14ac:dyDescent="0.35">
      <c r="B79" s="21">
        <v>2500</v>
      </c>
      <c r="C79" s="33">
        <f t="shared" si="0"/>
        <v>11507.009583306053</v>
      </c>
      <c r="D79" s="34">
        <f t="shared" si="2"/>
        <v>19494.221775432532</v>
      </c>
      <c r="E79" s="35">
        <f t="shared" si="0"/>
        <v>16942.96718552805</v>
      </c>
      <c r="F79" s="34"/>
      <c r="G79" s="21">
        <v>2500</v>
      </c>
      <c r="H79" s="33">
        <f t="shared" si="1"/>
        <v>16322.691825887483</v>
      </c>
      <c r="I79" s="34">
        <f t="shared" si="1"/>
        <v>20925.917521969284</v>
      </c>
      <c r="J79" s="34">
        <f t="shared" si="1"/>
        <v>23450.97614170532</v>
      </c>
      <c r="K79" s="33"/>
      <c r="L79" s="34"/>
      <c r="N79" s="8"/>
      <c r="O79" s="12"/>
      <c r="P79" s="34"/>
      <c r="Q79" s="34"/>
      <c r="R79" s="34"/>
      <c r="S79" s="34"/>
      <c r="T79" s="34"/>
    </row>
    <row r="80" spans="2:20" ht="18" hidden="1" x14ac:dyDescent="0.35">
      <c r="B80" s="21">
        <v>2700</v>
      </c>
      <c r="C80" s="33">
        <f t="shared" si="0"/>
        <v>12434.980815830735</v>
      </c>
      <c r="D80" s="37">
        <f t="shared" si="2"/>
        <v>21079.320922392886</v>
      </c>
      <c r="E80" s="35">
        <f t="shared" si="0"/>
        <v>18315.387781905501</v>
      </c>
      <c r="F80" s="34"/>
      <c r="G80" s="21">
        <v>2700</v>
      </c>
      <c r="H80" s="33">
        <f t="shared" si="1"/>
        <v>17646.271843097387</v>
      </c>
      <c r="I80" s="34">
        <f t="shared" si="1"/>
        <v>22625.570089420627</v>
      </c>
      <c r="J80" s="34">
        <f t="shared" si="1"/>
        <v>25358.201226196819</v>
      </c>
      <c r="K80" s="33"/>
      <c r="L80" s="34"/>
      <c r="N80" s="8"/>
      <c r="O80" s="12"/>
      <c r="P80" s="34"/>
      <c r="Q80" s="34"/>
      <c r="R80" s="34"/>
      <c r="S80" s="34"/>
      <c r="T80" s="34"/>
    </row>
    <row r="81" spans="2:20" ht="18" hidden="1" x14ac:dyDescent="0.35">
      <c r="B81" s="13">
        <v>2900</v>
      </c>
      <c r="C81" s="30">
        <f t="shared" si="0"/>
        <v>12903.850491211628</v>
      </c>
      <c r="D81" s="31">
        <f t="shared" si="2"/>
        <v>21865.210415423648</v>
      </c>
      <c r="E81" s="32">
        <f t="shared" si="0"/>
        <v>19001.598080094231</v>
      </c>
      <c r="F81" s="34"/>
      <c r="G81" s="13">
        <v>2900</v>
      </c>
      <c r="H81" s="30">
        <f t="shared" si="1"/>
        <v>18303.177792598246</v>
      </c>
      <c r="I81" s="31">
        <f t="shared" si="1"/>
        <v>23475.396373146301</v>
      </c>
      <c r="J81" s="31">
        <f t="shared" si="1"/>
        <v>26308.150724106155</v>
      </c>
      <c r="K81" s="33"/>
      <c r="L81" s="34"/>
      <c r="N81" s="8"/>
      <c r="O81" s="12"/>
      <c r="P81" s="34"/>
      <c r="Q81" s="34"/>
      <c r="R81" s="34"/>
      <c r="S81" s="34"/>
      <c r="T81" s="34"/>
    </row>
    <row r="82" spans="2:20" ht="18" hidden="1" x14ac:dyDescent="0.35">
      <c r="B82" s="21">
        <v>3100</v>
      </c>
      <c r="C82" s="33">
        <f t="shared" si="0"/>
        <v>13826.937664617757</v>
      </c>
      <c r="D82" s="34">
        <f t="shared" si="2"/>
        <v>23436.989401485174</v>
      </c>
      <c r="E82" s="35">
        <f t="shared" si="0"/>
        <v>20366.692587878919</v>
      </c>
      <c r="F82" s="34"/>
      <c r="G82" s="21">
        <v>3100</v>
      </c>
      <c r="H82" s="33">
        <f t="shared" si="1"/>
        <v>19616.989691599963</v>
      </c>
      <c r="I82" s="34">
        <f t="shared" si="1"/>
        <v>25155.512704190165</v>
      </c>
      <c r="J82" s="34">
        <f t="shared" si="1"/>
        <v>28200.723631252011</v>
      </c>
      <c r="K82" s="33"/>
      <c r="L82" s="34"/>
      <c r="N82" s="8"/>
      <c r="O82" s="12"/>
      <c r="P82" s="34"/>
      <c r="Q82" s="34"/>
      <c r="R82" s="34"/>
      <c r="S82" s="34"/>
      <c r="T82" s="34"/>
    </row>
    <row r="83" spans="2:20" ht="18" hidden="1" x14ac:dyDescent="0.35">
      <c r="B83" s="21">
        <v>3300</v>
      </c>
      <c r="C83" s="33">
        <f t="shared" si="0"/>
        <v>14740.256719786787</v>
      </c>
      <c r="D83" s="34">
        <f t="shared" si="2"/>
        <v>24995.448226647859</v>
      </c>
      <c r="E83" s="35">
        <f t="shared" si="0"/>
        <v>21719.576948008998</v>
      </c>
      <c r="F83" s="34"/>
      <c r="G83" s="21">
        <v>3300</v>
      </c>
      <c r="H83" s="33">
        <f t="shared" si="1"/>
        <v>20921.033472393487</v>
      </c>
      <c r="I83" s="34">
        <f t="shared" si="1"/>
        <v>26833.187005683092</v>
      </c>
      <c r="J83" s="34">
        <f t="shared" si="1"/>
        <v>30081.086390609828</v>
      </c>
      <c r="K83" s="33"/>
      <c r="L83" s="34"/>
      <c r="N83" s="8"/>
      <c r="O83" s="12"/>
      <c r="P83" s="34"/>
      <c r="Q83" s="34"/>
      <c r="R83" s="34"/>
      <c r="S83" s="34"/>
      <c r="T83" s="34"/>
    </row>
    <row r="84" spans="2:20" ht="18" hidden="1" x14ac:dyDescent="0.35">
      <c r="B84" s="19">
        <v>3500</v>
      </c>
      <c r="C84" s="36">
        <f t="shared" si="0"/>
        <v>15653.575774955811</v>
      </c>
      <c r="D84" s="37">
        <f t="shared" si="2"/>
        <v>26550.577011585854</v>
      </c>
      <c r="E84" s="38">
        <f t="shared" si="0"/>
        <v>23070.019278608175</v>
      </c>
      <c r="F84" s="34"/>
      <c r="G84" s="19">
        <v>3500</v>
      </c>
      <c r="H84" s="36">
        <f t="shared" si="1"/>
        <v>22222.63522363497</v>
      </c>
      <c r="I84" s="37">
        <f t="shared" si="1"/>
        <v>28505.977248074145</v>
      </c>
      <c r="J84" s="37">
        <f t="shared" si="1"/>
        <v>31954.123061294813</v>
      </c>
      <c r="K84" s="33"/>
      <c r="L84" s="34"/>
      <c r="N84" s="8"/>
      <c r="O84" s="12"/>
      <c r="P84" s="34"/>
      <c r="Q84" s="34"/>
      <c r="R84" s="34"/>
      <c r="S84" s="34"/>
      <c r="T84" s="34"/>
    </row>
    <row r="85" spans="2:20" ht="14.45" hidden="1" x14ac:dyDescent="0.3">
      <c r="H85" s="29"/>
      <c r="J85" s="29"/>
      <c r="O85" s="4"/>
      <c r="P85" s="4"/>
      <c r="Q85" s="4"/>
      <c r="R85" s="4"/>
      <c r="S85" s="4"/>
      <c r="T85" s="4"/>
    </row>
    <row r="86" spans="2:20" ht="14.45" x14ac:dyDescent="0.3">
      <c r="H86" s="29"/>
      <c r="J86" s="29"/>
      <c r="O86" s="4"/>
      <c r="P86" s="4"/>
      <c r="Q86" s="4"/>
      <c r="R86" s="4"/>
      <c r="S86" s="4"/>
      <c r="T86" s="4"/>
    </row>
    <row r="87" spans="2:20" ht="20.25" x14ac:dyDescent="0.35">
      <c r="F87" s="96" t="s">
        <v>77</v>
      </c>
      <c r="G87" s="98" t="s">
        <v>81</v>
      </c>
      <c r="O87" s="4"/>
      <c r="P87" s="4"/>
      <c r="Q87" s="4"/>
      <c r="R87" s="4"/>
      <c r="S87" s="4"/>
      <c r="T87" s="4"/>
    </row>
    <row r="88" spans="2:20" ht="14.45" x14ac:dyDescent="0.3">
      <c r="O88" s="4"/>
      <c r="P88" s="4"/>
      <c r="Q88" s="4"/>
      <c r="R88" s="4"/>
      <c r="S88" s="4"/>
      <c r="T88" s="4"/>
    </row>
    <row r="89" spans="2:20" ht="18" x14ac:dyDescent="0.35">
      <c r="B89" s="27" t="s">
        <v>50</v>
      </c>
      <c r="C89" s="8"/>
      <c r="D89" s="8"/>
      <c r="E89" s="58"/>
      <c r="F89" s="8"/>
      <c r="G89" s="27" t="s">
        <v>51</v>
      </c>
      <c r="H89" s="8"/>
      <c r="I89" s="8"/>
      <c r="J89" s="8"/>
      <c r="L89" s="8"/>
      <c r="M89" s="8"/>
      <c r="N89" s="8"/>
      <c r="O89" s="53"/>
      <c r="P89" s="12"/>
      <c r="Q89" s="12"/>
      <c r="R89" s="12"/>
      <c r="S89" s="12"/>
      <c r="T89" s="12"/>
    </row>
    <row r="90" spans="2:20" ht="18" x14ac:dyDescent="0.35">
      <c r="B90" s="9" t="s">
        <v>1</v>
      </c>
      <c r="C90" s="9"/>
      <c r="D90" s="10" t="s">
        <v>4</v>
      </c>
      <c r="F90" s="24"/>
      <c r="G90" s="25" t="s">
        <v>1</v>
      </c>
      <c r="H90" s="14"/>
      <c r="I90" s="10" t="s">
        <v>4</v>
      </c>
      <c r="J90" s="55"/>
      <c r="L90" s="12"/>
      <c r="M90" s="12"/>
      <c r="N90" s="8"/>
      <c r="O90" s="39"/>
      <c r="P90" s="12"/>
      <c r="Q90" s="12"/>
      <c r="R90" s="39"/>
      <c r="S90" s="12"/>
      <c r="T90" s="12"/>
    </row>
    <row r="91" spans="2:20" ht="18" x14ac:dyDescent="0.35">
      <c r="B91" s="24" t="s">
        <v>2</v>
      </c>
      <c r="C91" s="16">
        <v>260</v>
      </c>
      <c r="D91" s="17">
        <v>290</v>
      </c>
      <c r="E91" s="17">
        <v>340</v>
      </c>
      <c r="F91" s="24"/>
      <c r="G91" s="26" t="s">
        <v>2</v>
      </c>
      <c r="H91" s="17">
        <v>260</v>
      </c>
      <c r="I91" s="17">
        <v>290</v>
      </c>
      <c r="J91" s="18">
        <v>340</v>
      </c>
      <c r="L91" s="39"/>
      <c r="M91" s="39"/>
      <c r="N91" s="8"/>
      <c r="O91" s="39"/>
      <c r="P91" s="39"/>
      <c r="Q91" s="39"/>
      <c r="R91" s="39"/>
      <c r="S91" s="39"/>
      <c r="T91" s="39"/>
    </row>
    <row r="92" spans="2:20" ht="18" x14ac:dyDescent="0.35">
      <c r="B92" s="13">
        <v>1000</v>
      </c>
      <c r="C92" s="41">
        <f>IF(C69&lt;500,"FAIL",IF($D$7&gt;0,C12*(0.0952*LN(C69)+0.1663),"FAIL"))</f>
        <v>836.63284845025203</v>
      </c>
      <c r="D92" s="42">
        <f>IF(D69&lt;500,"FAIL",IF($D$7&gt;0, D12*(0.0952*LN(D69)+0.1663),"FAIL"))</f>
        <v>1089.3765211026891</v>
      </c>
      <c r="E92" s="43">
        <f>IF(E69&lt;500,"FAIL",IF($D$7&gt;0, E12*(0.0952*LN(E69)+0.1663),"FAIL"))</f>
        <v>1274.6772721679536</v>
      </c>
      <c r="F92" s="33"/>
      <c r="G92" s="13">
        <v>1000</v>
      </c>
      <c r="H92" s="41">
        <f>IF(H69&lt;500,"FAIL", IF($D$7&gt;0,H12*(0.0952*LN(H69)+0.1663),"FAIL"))</f>
        <v>1225.006670686118</v>
      </c>
      <c r="I92" s="42">
        <f t="shared" ref="I92:J92" si="3">IF(I69&lt;500,"FAIL", IF($D$7&gt;0,I12*(0.0952*LN(I69)+0.1663),"FAIL"))</f>
        <v>1604.1397740972034</v>
      </c>
      <c r="J92" s="43">
        <f t="shared" si="3"/>
        <v>1815.0442391281274</v>
      </c>
      <c r="L92" s="34"/>
      <c r="M92" s="34"/>
      <c r="N92" s="8"/>
      <c r="O92" s="12"/>
      <c r="P92" s="34"/>
      <c r="Q92" s="34"/>
      <c r="R92" s="34"/>
      <c r="S92" s="34"/>
      <c r="T92" s="34"/>
    </row>
    <row r="93" spans="2:20" ht="18" x14ac:dyDescent="0.35">
      <c r="B93" s="21">
        <v>1100</v>
      </c>
      <c r="C93" s="44">
        <f t="shared" ref="C93:C107" si="4">IF(C70&lt;500,"FAIL",IF($D$7&gt;0,C13*(0.0952*LN(C70)+0.1663),"FAIL"))</f>
        <v>947.11402640246217</v>
      </c>
      <c r="D93" s="45">
        <f t="shared" ref="D93:E107" si="5">IF(D70&lt;500,"FAIL",IF($D$7&gt;0, D13*(0.0952*LN(D70)+0.1663),"FAIL"))</f>
        <v>1232.847186083224</v>
      </c>
      <c r="E93" s="46">
        <f t="shared" si="5"/>
        <v>1442.8038237098983</v>
      </c>
      <c r="F93" s="33"/>
      <c r="G93" s="21">
        <v>1100</v>
      </c>
      <c r="H93" s="44">
        <f t="shared" ref="H93:J107" si="6">IF(H70&lt;500,"FAIL", IF($D$7&gt;0,H13*(0.0952*LN(H70)+0.1663),"FAIL"))</f>
        <v>1386.0294124605739</v>
      </c>
      <c r="I93" s="45">
        <f t="shared" si="6"/>
        <v>1815.0442337105794</v>
      </c>
      <c r="J93" s="46">
        <f t="shared" si="6"/>
        <v>2053.9602181525283</v>
      </c>
      <c r="L93" s="34"/>
      <c r="M93" s="34"/>
      <c r="N93" s="8"/>
      <c r="O93" s="12"/>
      <c r="P93" s="34"/>
      <c r="Q93" s="34"/>
      <c r="R93" s="34"/>
      <c r="S93" s="34"/>
      <c r="T93" s="34"/>
    </row>
    <row r="94" spans="2:20" ht="18" x14ac:dyDescent="0.35">
      <c r="B94" s="21">
        <v>1200</v>
      </c>
      <c r="C94" s="44">
        <f t="shared" si="4"/>
        <v>1111.5441321501189</v>
      </c>
      <c r="D94" s="45">
        <f t="shared" si="5"/>
        <v>1375.9433622114789</v>
      </c>
      <c r="E94" s="46">
        <f t="shared" si="5"/>
        <v>1695.077202766862</v>
      </c>
      <c r="F94" s="33"/>
      <c r="G94" s="21">
        <v>1200</v>
      </c>
      <c r="H94" s="44">
        <f t="shared" si="6"/>
        <v>1626.9766235191655</v>
      </c>
      <c r="I94" s="45">
        <f t="shared" si="6"/>
        <v>2130.6755125818499</v>
      </c>
      <c r="J94" s="46">
        <f t="shared" si="6"/>
        <v>2413.1568918384887</v>
      </c>
      <c r="L94" s="34"/>
      <c r="M94" s="34"/>
      <c r="N94" s="8"/>
      <c r="O94" s="12"/>
      <c r="P94" s="34"/>
      <c r="Q94" s="34"/>
      <c r="R94" s="34"/>
      <c r="S94" s="34"/>
      <c r="T94" s="34"/>
    </row>
    <row r="95" spans="2:20" ht="18" x14ac:dyDescent="0.35">
      <c r="B95" s="19">
        <v>1300</v>
      </c>
      <c r="C95" s="47">
        <f t="shared" si="4"/>
        <v>1166.8079862842669</v>
      </c>
      <c r="D95" s="48">
        <f t="shared" si="5"/>
        <v>1519.0661744475035</v>
      </c>
      <c r="E95" s="49">
        <f t="shared" si="5"/>
        <v>1779.0997116962294</v>
      </c>
      <c r="F95" s="33"/>
      <c r="G95" s="19">
        <v>1300</v>
      </c>
      <c r="H95" s="47">
        <f t="shared" si="6"/>
        <v>1707.9400495491325</v>
      </c>
      <c r="I95" s="48">
        <f t="shared" si="6"/>
        <v>2236.7185696094675</v>
      </c>
      <c r="J95" s="49">
        <f t="shared" si="6"/>
        <v>2531.7189783031454</v>
      </c>
      <c r="L95" s="34"/>
      <c r="M95" s="34"/>
      <c r="N95" s="8"/>
      <c r="O95" s="12"/>
      <c r="P95" s="34"/>
      <c r="Q95" s="34"/>
      <c r="R95" s="34"/>
      <c r="S95" s="34"/>
      <c r="T95" s="34"/>
    </row>
    <row r="96" spans="2:20" ht="18" x14ac:dyDescent="0.35">
      <c r="B96" s="21">
        <v>1400</v>
      </c>
      <c r="C96" s="41">
        <f t="shared" si="4"/>
        <v>1223.3718749957332</v>
      </c>
      <c r="D96" s="42">
        <f t="shared" si="5"/>
        <v>1590.7399811048222</v>
      </c>
      <c r="E96" s="43">
        <f t="shared" si="5"/>
        <v>1863.4314967160153</v>
      </c>
      <c r="F96" s="33"/>
      <c r="G96" s="21">
        <v>1400</v>
      </c>
      <c r="H96" s="41">
        <f t="shared" si="6"/>
        <v>1789.2034764078742</v>
      </c>
      <c r="I96" s="42">
        <f t="shared" si="6"/>
        <v>2343.1472273695649</v>
      </c>
      <c r="J96" s="43">
        <f t="shared" si="6"/>
        <v>2650.7032488300201</v>
      </c>
      <c r="L96" s="34"/>
      <c r="M96" s="34"/>
      <c r="N96" s="8"/>
      <c r="O96" s="12"/>
      <c r="P96" s="34"/>
      <c r="Q96" s="34"/>
      <c r="R96" s="34"/>
      <c r="S96" s="34"/>
      <c r="T96" s="34"/>
    </row>
    <row r="97" spans="2:20" ht="18" x14ac:dyDescent="0.35">
      <c r="B97" s="21">
        <v>1500</v>
      </c>
      <c r="C97" s="44">
        <f t="shared" si="4"/>
        <v>1387.680483800887</v>
      </c>
      <c r="D97" s="45">
        <f t="shared" si="5"/>
        <v>1806.0609098215339</v>
      </c>
      <c r="E97" s="46">
        <f t="shared" si="5"/>
        <v>2113.6090498285921</v>
      </c>
      <c r="F97" s="33"/>
      <c r="G97" s="21">
        <v>1500</v>
      </c>
      <c r="H97" s="44">
        <f t="shared" si="6"/>
        <v>2030.1376667588074</v>
      </c>
      <c r="I97" s="45">
        <f t="shared" si="6"/>
        <v>2658.8044270849114</v>
      </c>
      <c r="J97" s="46">
        <f t="shared" si="6"/>
        <v>3010.0216008301618</v>
      </c>
      <c r="L97" s="34"/>
      <c r="M97" s="34"/>
      <c r="N97" s="8"/>
      <c r="O97" s="12"/>
      <c r="P97" s="34"/>
      <c r="Q97" s="34"/>
      <c r="R97" s="34"/>
      <c r="S97" s="34"/>
      <c r="T97" s="34"/>
    </row>
    <row r="98" spans="2:20" ht="18" x14ac:dyDescent="0.35">
      <c r="B98" s="21">
        <v>1700</v>
      </c>
      <c r="C98" s="44">
        <f t="shared" si="4"/>
        <v>1608.0369656757105</v>
      </c>
      <c r="D98" s="45">
        <f t="shared" si="5"/>
        <v>2093.0825457031119</v>
      </c>
      <c r="E98" s="46">
        <f t="shared" si="5"/>
        <v>2450.5205210931904</v>
      </c>
      <c r="F98" s="33"/>
      <c r="G98" s="21">
        <v>1700</v>
      </c>
      <c r="H98" s="44">
        <f t="shared" si="6"/>
        <v>2351.7464912421865</v>
      </c>
      <c r="I98" s="45">
        <f t="shared" si="6"/>
        <v>3081.9351520433997</v>
      </c>
      <c r="J98" s="46">
        <f t="shared" si="6"/>
        <v>3487.0186255033336</v>
      </c>
      <c r="L98" s="34"/>
      <c r="M98" s="34"/>
      <c r="N98" s="8"/>
      <c r="O98" s="12"/>
      <c r="P98" s="34"/>
      <c r="Q98" s="34"/>
      <c r="R98" s="34"/>
      <c r="S98" s="34"/>
      <c r="T98" s="34"/>
    </row>
    <row r="99" spans="2:20" ht="18.75" x14ac:dyDescent="0.3">
      <c r="B99" s="21">
        <v>1900</v>
      </c>
      <c r="C99" s="47">
        <f t="shared" si="4"/>
        <v>1718.0118844853537</v>
      </c>
      <c r="D99" s="48">
        <f t="shared" si="5"/>
        <v>2235.9860572238067</v>
      </c>
      <c r="E99" s="49">
        <f t="shared" si="5"/>
        <v>2618.3172147614109</v>
      </c>
      <c r="F99" s="33"/>
      <c r="G99" s="21">
        <v>1900</v>
      </c>
      <c r="H99" s="47">
        <f t="shared" si="6"/>
        <v>2513.849671768085</v>
      </c>
      <c r="I99" s="48">
        <f t="shared" si="6"/>
        <v>3293.126117302636</v>
      </c>
      <c r="J99" s="49">
        <f t="shared" si="6"/>
        <v>3726.2053417323405</v>
      </c>
      <c r="L99" s="34"/>
      <c r="M99" s="34"/>
      <c r="N99" s="8"/>
      <c r="O99" s="12"/>
      <c r="P99" s="34"/>
      <c r="Q99" s="34"/>
      <c r="R99" s="34"/>
      <c r="S99" s="34"/>
      <c r="T99" s="34"/>
    </row>
    <row r="100" spans="2:20" ht="18.75" x14ac:dyDescent="0.3">
      <c r="B100" s="13">
        <v>2100</v>
      </c>
      <c r="C100" s="41">
        <f t="shared" si="4"/>
        <v>2048.8535915174443</v>
      </c>
      <c r="D100" s="42">
        <f t="shared" si="5"/>
        <v>2665.7060142654341</v>
      </c>
      <c r="E100" s="43">
        <f t="shared" si="5"/>
        <v>3121.1605736806914</v>
      </c>
      <c r="F100" s="33"/>
      <c r="G100" s="13">
        <v>2100</v>
      </c>
      <c r="H100" s="41">
        <f t="shared" si="6"/>
        <v>2997.1724583638324</v>
      </c>
      <c r="I100" s="42">
        <f t="shared" si="6"/>
        <v>3926.003138938439</v>
      </c>
      <c r="J100" s="43">
        <f t="shared" si="6"/>
        <v>4443.1356312289126</v>
      </c>
      <c r="L100" s="34"/>
      <c r="M100" s="34"/>
      <c r="N100" s="8"/>
      <c r="O100" s="12"/>
      <c r="P100" s="34"/>
      <c r="Q100" s="34"/>
      <c r="R100" s="34"/>
      <c r="S100" s="34"/>
      <c r="T100" s="34"/>
    </row>
    <row r="101" spans="2:20" ht="18.75" x14ac:dyDescent="0.3">
      <c r="B101" s="21">
        <v>2300</v>
      </c>
      <c r="C101" s="44">
        <f t="shared" si="4"/>
        <v>2159.1428551462827</v>
      </c>
      <c r="D101" s="45">
        <f t="shared" si="5"/>
        <v>2808.7522337094738</v>
      </c>
      <c r="E101" s="46">
        <f t="shared" si="5"/>
        <v>3289.009745248019</v>
      </c>
      <c r="F101" s="33"/>
      <c r="G101" s="21">
        <v>2300</v>
      </c>
      <c r="H101" s="44">
        <f t="shared" si="6"/>
        <v>3158.0778502843095</v>
      </c>
      <c r="I101" s="45">
        <f t="shared" si="6"/>
        <v>4137.3157321426843</v>
      </c>
      <c r="J101" s="46">
        <f t="shared" si="6"/>
        <v>4682.2688040319717</v>
      </c>
      <c r="L101" s="34"/>
      <c r="M101" s="34"/>
      <c r="N101" s="8"/>
      <c r="O101" s="12"/>
      <c r="P101" s="34"/>
      <c r="Q101" s="34"/>
      <c r="R101" s="34"/>
      <c r="S101" s="34"/>
      <c r="T101" s="34"/>
    </row>
    <row r="102" spans="2:20" ht="18.75" x14ac:dyDescent="0.3">
      <c r="B102" s="21">
        <v>2500</v>
      </c>
      <c r="C102" s="44">
        <f t="shared" si="4"/>
        <v>2489.0791713248423</v>
      </c>
      <c r="D102" s="45">
        <f t="shared" si="5"/>
        <v>3239.2256221680973</v>
      </c>
      <c r="E102" s="46">
        <f t="shared" si="5"/>
        <v>3792.7189571032222</v>
      </c>
      <c r="F102" s="33"/>
      <c r="G102" s="21">
        <v>2500</v>
      </c>
      <c r="H102" s="44">
        <f t="shared" si="6"/>
        <v>3642.001461939351</v>
      </c>
      <c r="I102" s="45">
        <f t="shared" si="6"/>
        <v>4770.4382694143833</v>
      </c>
      <c r="J102" s="46">
        <f t="shared" si="6"/>
        <v>5398.149948784936</v>
      </c>
      <c r="L102" s="34"/>
      <c r="M102" s="34"/>
      <c r="N102" s="8"/>
      <c r="O102" s="12"/>
      <c r="P102" s="34"/>
      <c r="Q102" s="34"/>
      <c r="R102" s="34"/>
      <c r="S102" s="34"/>
      <c r="T102" s="34"/>
    </row>
    <row r="103" spans="2:20" ht="18.75" x14ac:dyDescent="0.3">
      <c r="B103" s="19">
        <v>2700</v>
      </c>
      <c r="C103" s="47">
        <f t="shared" si="4"/>
        <v>2708.6095588797948</v>
      </c>
      <c r="D103" s="48">
        <f t="shared" si="5"/>
        <v>3526.1678050475248</v>
      </c>
      <c r="E103" s="49">
        <f t="shared" si="5"/>
        <v>4127.7474310698599</v>
      </c>
      <c r="F103" s="33"/>
      <c r="G103" s="19">
        <v>2700</v>
      </c>
      <c r="H103" s="47">
        <f t="shared" si="6"/>
        <v>3964.1460413939981</v>
      </c>
      <c r="I103" s="48">
        <f t="shared" si="6"/>
        <v>5192.3473208550731</v>
      </c>
      <c r="J103" s="49">
        <f t="shared" si="6"/>
        <v>5875.8223176131869</v>
      </c>
      <c r="L103" s="34"/>
      <c r="M103" s="34"/>
      <c r="N103" s="8"/>
      <c r="O103" s="12"/>
      <c r="P103" s="34"/>
      <c r="Q103" s="34"/>
      <c r="R103" s="34"/>
      <c r="S103" s="34"/>
      <c r="T103" s="34"/>
    </row>
    <row r="104" spans="2:20" ht="18.75" x14ac:dyDescent="0.3">
      <c r="B104" s="21">
        <v>2900</v>
      </c>
      <c r="C104" s="41">
        <f t="shared" si="4"/>
        <v>2820.0501804167579</v>
      </c>
      <c r="D104" s="42">
        <f t="shared" si="5"/>
        <v>3669.0734835909166</v>
      </c>
      <c r="E104" s="43">
        <f t="shared" si="5"/>
        <v>4296.0233114637722</v>
      </c>
      <c r="F104" s="33"/>
      <c r="G104" s="21">
        <v>2900</v>
      </c>
      <c r="H104" s="41">
        <f t="shared" si="6"/>
        <v>4124.7577203057954</v>
      </c>
      <c r="I104" s="42">
        <f t="shared" si="6"/>
        <v>5404.2474922079309</v>
      </c>
      <c r="J104" s="43">
        <f t="shared" si="6"/>
        <v>6114.7981208227447</v>
      </c>
      <c r="L104" s="34"/>
      <c r="M104" s="34"/>
      <c r="N104" s="8"/>
      <c r="O104" s="12"/>
      <c r="P104" s="34"/>
      <c r="Q104" s="34"/>
      <c r="R104" s="34"/>
      <c r="S104" s="34"/>
      <c r="T104" s="34"/>
    </row>
    <row r="105" spans="2:20" ht="18.75" x14ac:dyDescent="0.3">
      <c r="B105" s="21">
        <v>3100</v>
      </c>
      <c r="C105" s="44">
        <f t="shared" si="4"/>
        <v>3040.4085817915507</v>
      </c>
      <c r="D105" s="45">
        <f t="shared" si="5"/>
        <v>3956.0823799626228</v>
      </c>
      <c r="E105" s="46">
        <f t="shared" si="5"/>
        <v>4632.1985779612742</v>
      </c>
      <c r="F105" s="33"/>
      <c r="G105" s="21">
        <v>3100</v>
      </c>
      <c r="H105" s="44">
        <f t="shared" si="6"/>
        <v>4447.3441113088384</v>
      </c>
      <c r="I105" s="45">
        <f t="shared" si="6"/>
        <v>5824.9215303543733</v>
      </c>
      <c r="J105" s="46">
        <f t="shared" si="6"/>
        <v>6592.8771076508856</v>
      </c>
      <c r="L105" s="34"/>
      <c r="M105" s="34"/>
      <c r="N105" s="8"/>
      <c r="O105" s="12"/>
      <c r="P105" s="34"/>
      <c r="Q105" s="34"/>
      <c r="R105" s="34"/>
      <c r="S105" s="34"/>
      <c r="T105" s="34"/>
    </row>
    <row r="106" spans="2:20" ht="18.75" x14ac:dyDescent="0.3">
      <c r="B106" s="21">
        <v>3300</v>
      </c>
      <c r="C106" s="44">
        <f t="shared" si="4"/>
        <v>3259.618510253049</v>
      </c>
      <c r="D106" s="45">
        <f t="shared" si="5"/>
        <v>4242.1480364703493</v>
      </c>
      <c r="E106" s="46">
        <f t="shared" si="5"/>
        <v>4967.128174188173</v>
      </c>
      <c r="F106" s="33"/>
      <c r="G106" s="21">
        <v>3300</v>
      </c>
      <c r="H106" s="44">
        <f t="shared" si="6"/>
        <v>4769.2296661362225</v>
      </c>
      <c r="I106" s="45">
        <f t="shared" si="6"/>
        <v>6247.1683262667466</v>
      </c>
      <c r="J106" s="46">
        <f t="shared" si="6"/>
        <v>7070.3257193561867</v>
      </c>
      <c r="L106" s="34"/>
      <c r="M106" s="34"/>
      <c r="N106" s="8"/>
      <c r="O106" s="12"/>
      <c r="P106" s="34"/>
      <c r="Q106" s="34"/>
      <c r="R106" s="34"/>
      <c r="S106" s="34"/>
      <c r="T106" s="34"/>
    </row>
    <row r="107" spans="2:20" ht="18.75" x14ac:dyDescent="0.3">
      <c r="B107" s="19">
        <v>3500</v>
      </c>
      <c r="C107" s="47">
        <f t="shared" si="4"/>
        <v>3479.9322075212322</v>
      </c>
      <c r="D107" s="48">
        <f t="shared" si="5"/>
        <v>4528.9879089071619</v>
      </c>
      <c r="E107" s="49">
        <f t="shared" si="5"/>
        <v>5303.0924669161896</v>
      </c>
      <c r="F107" s="33"/>
      <c r="G107" s="19">
        <v>3500</v>
      </c>
      <c r="H107" s="47">
        <f t="shared" si="6"/>
        <v>5092.0934567897948</v>
      </c>
      <c r="I107" s="48">
        <f t="shared" si="6"/>
        <v>6670.2229666811108</v>
      </c>
      <c r="J107" s="49">
        <f t="shared" si="6"/>
        <v>7548.1935511353122</v>
      </c>
      <c r="L107" s="34"/>
      <c r="M107" s="34"/>
      <c r="N107" s="8"/>
      <c r="O107" s="12"/>
      <c r="P107" s="34"/>
      <c r="Q107" s="34"/>
      <c r="R107" s="34"/>
      <c r="S107" s="34"/>
      <c r="T107" s="34"/>
    </row>
  </sheetData>
  <sheetProtection password="CDBE" sheet="1" objects="1" scenarios="1"/>
  <pageMargins left="0.7" right="0.7" top="0.75" bottom="0.75" header="0.3" footer="0.3"/>
  <pageSetup paperSize="9" scale="92" orientation="landscape" r:id="rId1"/>
  <drawing r:id="rId2"/>
  <legacyDrawing r:id="rId3"/>
  <oleObjects>
    <mc:AlternateContent xmlns:mc="http://schemas.openxmlformats.org/markup-compatibility/2006">
      <mc:Choice Requires="x14">
        <oleObject progId="CorelPhotoPaint.Image.11" shapeId="2049" r:id="rId4">
          <objectPr defaultSize="0" autoPict="0" r:id="rId5">
            <anchor moveWithCells="1">
              <from>
                <xdr:col>9</xdr:col>
                <xdr:colOff>190500</xdr:colOff>
                <xdr:row>1</xdr:row>
                <xdr:rowOff>114300</xdr:rowOff>
              </from>
              <to>
                <xdr:col>12</xdr:col>
                <xdr:colOff>523875</xdr:colOff>
                <xdr:row>4</xdr:row>
                <xdr:rowOff>76200</xdr:rowOff>
              </to>
            </anchor>
          </objectPr>
        </oleObject>
      </mc:Choice>
      <mc:Fallback>
        <oleObject progId="CorelPhotoPaint.Image.11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workbookViewId="0">
      <selection activeCell="D3" sqref="D3"/>
    </sheetView>
  </sheetViews>
  <sheetFormatPr defaultRowHeight="15" x14ac:dyDescent="0.25"/>
  <cols>
    <col min="2" max="2" width="14.28515625" customWidth="1"/>
  </cols>
  <sheetData>
    <row r="1" spans="1:13" ht="21" x14ac:dyDescent="0.4">
      <c r="A1" s="23" t="s">
        <v>58</v>
      </c>
      <c r="L1" s="2"/>
      <c r="M1" s="2" t="s">
        <v>82</v>
      </c>
    </row>
    <row r="2" spans="1:13" ht="14.45" x14ac:dyDescent="0.3">
      <c r="A2" t="s">
        <v>45</v>
      </c>
    </row>
    <row r="3" spans="1:13" ht="21" x14ac:dyDescent="0.45">
      <c r="C3" s="5" t="s">
        <v>8</v>
      </c>
      <c r="D3" s="72">
        <v>75</v>
      </c>
      <c r="E3" s="8" t="s">
        <v>69</v>
      </c>
      <c r="I3" s="68">
        <v>1</v>
      </c>
      <c r="J3" s="8" t="s">
        <v>67</v>
      </c>
    </row>
    <row r="4" spans="1:13" ht="21" x14ac:dyDescent="0.45">
      <c r="C4" s="5" t="s">
        <v>9</v>
      </c>
      <c r="D4" s="72">
        <v>65</v>
      </c>
      <c r="E4" s="8" t="s">
        <v>69</v>
      </c>
      <c r="G4" s="5" t="s">
        <v>70</v>
      </c>
      <c r="H4" s="74">
        <v>2</v>
      </c>
      <c r="I4" s="68">
        <v>2</v>
      </c>
      <c r="J4" s="8" t="s">
        <v>86</v>
      </c>
      <c r="K4" s="99"/>
    </row>
    <row r="5" spans="1:13" ht="21.75" x14ac:dyDescent="0.35">
      <c r="C5" s="5" t="s">
        <v>10</v>
      </c>
      <c r="D5" s="72">
        <v>20</v>
      </c>
      <c r="E5" s="8" t="s">
        <v>69</v>
      </c>
      <c r="F5" s="101" t="s">
        <v>87</v>
      </c>
      <c r="I5" s="68">
        <v>3</v>
      </c>
      <c r="J5" s="8" t="s">
        <v>68</v>
      </c>
    </row>
    <row r="6" spans="1:13" x14ac:dyDescent="0.25">
      <c r="F6" s="101" t="s">
        <v>85</v>
      </c>
    </row>
    <row r="7" spans="1:13" ht="20.25" x14ac:dyDescent="0.35">
      <c r="C7" s="6" t="s">
        <v>11</v>
      </c>
      <c r="D7" s="69">
        <f>(D3-D4)/LN((D3-D5)/(D4-D5))</f>
        <v>49.83288654563971</v>
      </c>
      <c r="E7" s="8" t="s">
        <v>0</v>
      </c>
      <c r="F7" s="8"/>
      <c r="G7" s="6"/>
      <c r="H7" s="7"/>
      <c r="I7" s="8"/>
    </row>
    <row r="8" spans="1:13" ht="14.45" hidden="1" x14ac:dyDescent="0.3">
      <c r="B8" t="s">
        <v>46</v>
      </c>
      <c r="G8" s="4"/>
      <c r="H8" s="4"/>
      <c r="I8" s="4"/>
      <c r="J8" s="4"/>
    </row>
    <row r="9" spans="1:13" ht="18" hidden="1" x14ac:dyDescent="0.35">
      <c r="B9" s="27" t="s">
        <v>59</v>
      </c>
      <c r="C9" s="8"/>
      <c r="D9" s="8"/>
      <c r="E9" s="8"/>
      <c r="F9" s="8"/>
      <c r="G9" s="53"/>
      <c r="H9" s="12"/>
      <c r="I9" s="12"/>
      <c r="J9" s="12"/>
      <c r="L9" s="8"/>
      <c r="M9" s="8"/>
    </row>
    <row r="10" spans="1:13" ht="18" hidden="1" x14ac:dyDescent="0.35">
      <c r="B10" s="9" t="s">
        <v>1</v>
      </c>
      <c r="C10" s="60" t="s">
        <v>60</v>
      </c>
      <c r="D10" s="55"/>
      <c r="E10" s="57"/>
      <c r="F10" s="39"/>
      <c r="G10" s="39"/>
      <c r="H10" s="12"/>
      <c r="I10" s="39"/>
      <c r="J10" s="4"/>
      <c r="L10" s="12"/>
      <c r="M10" s="12"/>
    </row>
    <row r="11" spans="1:13" ht="18" hidden="1" x14ac:dyDescent="0.35">
      <c r="B11" s="24" t="s">
        <v>2</v>
      </c>
      <c r="C11" s="16">
        <v>180</v>
      </c>
      <c r="D11" s="18">
        <v>260</v>
      </c>
      <c r="E11" s="24"/>
      <c r="F11" s="39"/>
      <c r="G11" s="39"/>
      <c r="H11" s="39"/>
      <c r="I11" s="39"/>
      <c r="J11" s="39"/>
      <c r="L11" s="39"/>
      <c r="M11" s="39"/>
    </row>
    <row r="12" spans="1:13" ht="18" hidden="1" x14ac:dyDescent="0.35">
      <c r="B12" s="13">
        <v>1000</v>
      </c>
      <c r="C12" s="41">
        <f>834*$B$40*ABS($D$7/49.833)^$F$29</f>
        <v>833.99800079509521</v>
      </c>
      <c r="D12" s="43">
        <f>1255*$B$40*ABS($D$7/49.833)^$F$32</f>
        <v>1254.9969890326106</v>
      </c>
      <c r="E12" s="44"/>
      <c r="F12" s="45"/>
      <c r="G12" s="12"/>
      <c r="H12" s="45"/>
      <c r="I12" s="45"/>
      <c r="J12" s="45"/>
      <c r="L12" s="45"/>
      <c r="M12" s="45"/>
    </row>
    <row r="13" spans="1:13" ht="18" hidden="1" x14ac:dyDescent="0.35">
      <c r="B13" s="21">
        <v>1250</v>
      </c>
      <c r="C13" s="44">
        <f>1109*$B$40*ABS($D$7/49.833)^$F$29</f>
        <v>1108.9973415848449</v>
      </c>
      <c r="D13" s="46">
        <f>1669*$B$40*ABS($D$7/49.833)^$F$32</f>
        <v>1668.9959957732485</v>
      </c>
      <c r="E13" s="44"/>
      <c r="F13" s="45"/>
      <c r="G13" s="12"/>
      <c r="H13" s="45"/>
      <c r="I13" s="45"/>
      <c r="J13" s="45"/>
      <c r="L13" s="45"/>
      <c r="M13" s="45"/>
    </row>
    <row r="14" spans="1:13" ht="18" hidden="1" x14ac:dyDescent="0.35">
      <c r="B14" s="21">
        <v>1500</v>
      </c>
      <c r="C14" s="44">
        <f>1380*$B$40*ABS($D$7/49.833)^$F$29</f>
        <v>1379.9966919631072</v>
      </c>
      <c r="D14" s="46">
        <f>2075*$B$40*ABS($D$7/49.833)^$F$32</f>
        <v>2074.9950217073042</v>
      </c>
      <c r="E14" s="44"/>
      <c r="F14" s="45"/>
      <c r="G14" s="12"/>
      <c r="H14" s="45"/>
      <c r="I14" s="45"/>
      <c r="J14" s="45"/>
      <c r="L14" s="45"/>
      <c r="M14" s="45"/>
    </row>
    <row r="15" spans="1:13" ht="18" hidden="1" x14ac:dyDescent="0.35">
      <c r="B15" s="13">
        <v>1750</v>
      </c>
      <c r="C15" s="41">
        <f>1645*$B$40*ABS($D$7/49.833)^$F$29</f>
        <v>1644.9960567241387</v>
      </c>
      <c r="D15" s="43">
        <f>2473*$B$40*ABS($D$7/49.833)^$F$32</f>
        <v>2472.9940668347776</v>
      </c>
      <c r="E15" s="44"/>
      <c r="F15" s="45"/>
      <c r="G15" s="12"/>
      <c r="H15" s="45"/>
      <c r="I15" s="45"/>
      <c r="J15" s="45"/>
      <c r="L15" s="45"/>
      <c r="M15" s="45"/>
    </row>
    <row r="16" spans="1:13" ht="18" hidden="1" x14ac:dyDescent="0.35">
      <c r="B16" s="21">
        <v>2000</v>
      </c>
      <c r="C16" s="44">
        <f>1907*$B$40*ABS($D$7/49.833)^$F$29</f>
        <v>1906.9954286765546</v>
      </c>
      <c r="D16" s="46">
        <f>2866*$B$40*ABS($D$7/49.833)^$F$32</f>
        <v>2865.9931239581369</v>
      </c>
      <c r="E16" s="44"/>
      <c r="F16" s="45"/>
      <c r="G16" s="12"/>
      <c r="H16" s="45"/>
      <c r="I16" s="45"/>
      <c r="J16" s="45"/>
      <c r="L16" s="45"/>
      <c r="M16" s="45"/>
    </row>
    <row r="17" spans="1:13" ht="18" hidden="1" x14ac:dyDescent="0.35">
      <c r="B17" s="19">
        <v>2250</v>
      </c>
      <c r="C17" s="47">
        <f>2166*$B$40*ABS($D$7/49.833)^$F$29</f>
        <v>2165.9948078203552</v>
      </c>
      <c r="D17" s="49">
        <f>3255*$B$40*ABS($D$7/49.833)^$F$32</f>
        <v>3254.9921906782047</v>
      </c>
      <c r="E17" s="44"/>
      <c r="F17" s="45"/>
      <c r="G17" s="12"/>
      <c r="H17" s="45"/>
      <c r="I17" s="45"/>
      <c r="J17" s="45"/>
      <c r="L17" s="45"/>
      <c r="M17" s="45"/>
    </row>
    <row r="18" spans="1:13" ht="18" hidden="1" x14ac:dyDescent="0.35">
      <c r="B18" s="21">
        <v>2500</v>
      </c>
      <c r="C18" s="44">
        <f>2423*$B$40*ABS($D$7/49.833)^$F$29</f>
        <v>2422.9941917584119</v>
      </c>
      <c r="D18" s="46">
        <f>3639.5*$B$40*ABS($D$7/49.833)^$F$32</f>
        <v>3639.4912681945702</v>
      </c>
      <c r="E18" s="44"/>
      <c r="F18" s="45"/>
      <c r="G18" s="12"/>
      <c r="H18" s="45"/>
      <c r="I18" s="45"/>
      <c r="J18" s="45"/>
      <c r="L18" s="45"/>
      <c r="M18" s="45"/>
    </row>
    <row r="19" spans="1:13" ht="18" hidden="1" x14ac:dyDescent="0.35">
      <c r="B19" s="21">
        <v>2750</v>
      </c>
      <c r="C19" s="44">
        <f>2677*$B$40*ABS($D$7/49.833)^$F$29</f>
        <v>2676.9935828878538</v>
      </c>
      <c r="D19" s="46">
        <f>4021*$B$40*ABS($D$7/49.833)^$F$32</f>
        <v>4020.9903529084677</v>
      </c>
      <c r="E19" s="44"/>
      <c r="F19" s="45"/>
      <c r="G19" s="12"/>
      <c r="H19" s="45"/>
      <c r="I19" s="45"/>
      <c r="J19" s="45"/>
      <c r="L19" s="45"/>
      <c r="M19" s="45"/>
    </row>
    <row r="20" spans="1:13" ht="18" hidden="1" x14ac:dyDescent="0.35">
      <c r="B20" s="19">
        <v>3000</v>
      </c>
      <c r="C20" s="47">
        <f>2930*$B$40*ABS($D$7/49.833)^$F$29</f>
        <v>2929.9929764144231</v>
      </c>
      <c r="D20" s="49">
        <f>4399*$B$40*ABS($D$7/49.833)^$F$32</f>
        <v>4398.9894460194846</v>
      </c>
      <c r="E20" s="44"/>
      <c r="F20" s="45"/>
      <c r="G20" s="12"/>
      <c r="H20" s="45"/>
      <c r="I20" s="45"/>
      <c r="J20" s="45"/>
      <c r="L20" s="45"/>
      <c r="M20" s="45"/>
    </row>
    <row r="21" spans="1:13" ht="18" hidden="1" x14ac:dyDescent="0.35">
      <c r="B21" s="14"/>
      <c r="C21" s="42"/>
      <c r="D21" s="42"/>
      <c r="E21" s="45"/>
      <c r="F21" s="45"/>
      <c r="G21" s="12"/>
      <c r="H21" s="45"/>
      <c r="I21" s="45"/>
      <c r="J21" s="45"/>
      <c r="L21" s="45"/>
      <c r="M21" s="45"/>
    </row>
    <row r="22" spans="1:13" ht="18" hidden="1" x14ac:dyDescent="0.35">
      <c r="B22" s="12"/>
      <c r="C22" s="45"/>
      <c r="D22" s="45"/>
      <c r="E22" s="45"/>
      <c r="F22" s="45"/>
      <c r="G22" s="12"/>
      <c r="H22" s="45"/>
      <c r="I22" s="45"/>
      <c r="J22" s="45"/>
      <c r="L22" s="45"/>
      <c r="M22" s="45"/>
    </row>
    <row r="23" spans="1:13" ht="18" hidden="1" x14ac:dyDescent="0.35">
      <c r="B23" s="12"/>
      <c r="C23" s="45"/>
      <c r="D23" s="45"/>
      <c r="E23" s="45"/>
      <c r="F23" s="45"/>
      <c r="G23" s="12"/>
      <c r="H23" s="45"/>
      <c r="I23" s="45"/>
      <c r="J23" s="45"/>
      <c r="L23" s="45"/>
      <c r="M23" s="45"/>
    </row>
    <row r="24" spans="1:13" ht="18" hidden="1" x14ac:dyDescent="0.35">
      <c r="B24" s="12"/>
      <c r="C24" s="45"/>
      <c r="D24" s="45"/>
      <c r="E24" s="45"/>
      <c r="F24" s="45"/>
      <c r="G24" s="12"/>
      <c r="H24" s="45"/>
      <c r="I24" s="45"/>
      <c r="J24" s="45"/>
      <c r="L24" s="45"/>
      <c r="M24" s="45"/>
    </row>
    <row r="25" spans="1:13" ht="18" hidden="1" x14ac:dyDescent="0.35">
      <c r="B25" s="12"/>
      <c r="C25" s="45"/>
      <c r="D25" s="45"/>
      <c r="E25" s="45"/>
      <c r="F25" s="45"/>
      <c r="G25" s="12"/>
      <c r="H25" s="45"/>
      <c r="I25" s="45"/>
      <c r="J25" s="45"/>
      <c r="L25" s="45"/>
      <c r="M25" s="45"/>
    </row>
    <row r="26" spans="1:13" ht="18" hidden="1" x14ac:dyDescent="0.35">
      <c r="B26" s="12"/>
      <c r="C26" s="45"/>
      <c r="D26" s="45"/>
      <c r="E26" s="45"/>
      <c r="F26" s="45"/>
      <c r="G26" s="12"/>
      <c r="H26" s="45"/>
      <c r="I26" s="45"/>
      <c r="J26" s="45"/>
      <c r="L26" s="45"/>
      <c r="M26" s="45"/>
    </row>
    <row r="27" spans="1:13" ht="18" hidden="1" x14ac:dyDescent="0.35">
      <c r="B27" s="12"/>
      <c r="C27" s="45"/>
      <c r="D27" s="45"/>
      <c r="E27" s="45"/>
      <c r="F27" s="45"/>
      <c r="G27" s="12"/>
      <c r="H27" s="45"/>
      <c r="I27" s="45"/>
      <c r="J27" s="45"/>
      <c r="L27" s="45"/>
      <c r="M27" s="45"/>
    </row>
    <row r="28" spans="1:13" ht="14.45" hidden="1" x14ac:dyDescent="0.3"/>
    <row r="29" spans="1:13" ht="14.45" hidden="1" x14ac:dyDescent="0.3">
      <c r="A29" t="s">
        <v>61</v>
      </c>
      <c r="F29" s="3">
        <v>1.0528999999999999</v>
      </c>
      <c r="M29" s="3"/>
    </row>
    <row r="30" spans="1:13" ht="14.45" hidden="1" x14ac:dyDescent="0.3">
      <c r="B30" s="3"/>
      <c r="D30" s="1"/>
      <c r="E30" s="1"/>
      <c r="I30" s="3"/>
      <c r="K30" s="1"/>
      <c r="L30" s="1"/>
    </row>
    <row r="31" spans="1:13" ht="14.45" hidden="1" x14ac:dyDescent="0.3"/>
    <row r="32" spans="1:13" ht="14.45" hidden="1" x14ac:dyDescent="0.3">
      <c r="A32" t="s">
        <v>62</v>
      </c>
      <c r="F32" s="3">
        <v>1.0538000000000001</v>
      </c>
      <c r="M32" s="3"/>
    </row>
    <row r="33" spans="1:13" ht="14.45" hidden="1" x14ac:dyDescent="0.3">
      <c r="B33" s="3"/>
      <c r="D33" s="1"/>
      <c r="E33" s="1"/>
      <c r="I33" s="3"/>
      <c r="K33" s="1"/>
      <c r="L33" s="1"/>
    </row>
    <row r="34" spans="1:13" ht="14.45" hidden="1" x14ac:dyDescent="0.3"/>
    <row r="35" spans="1:13" ht="14.45" hidden="1" x14ac:dyDescent="0.3">
      <c r="F35" s="3"/>
      <c r="M35" s="3"/>
    </row>
    <row r="36" spans="1:13" ht="14.45" hidden="1" x14ac:dyDescent="0.3">
      <c r="B36" s="3"/>
      <c r="D36" s="1"/>
      <c r="E36" s="1"/>
      <c r="I36" s="3"/>
      <c r="K36" s="1"/>
      <c r="L36" s="1"/>
    </row>
    <row r="37" spans="1:13" ht="14.45" hidden="1" x14ac:dyDescent="0.3"/>
    <row r="38" spans="1:13" ht="14.45" hidden="1" x14ac:dyDescent="0.3">
      <c r="F38" s="3"/>
      <c r="M38" s="3"/>
    </row>
    <row r="39" spans="1:13" ht="14.45" hidden="1" x14ac:dyDescent="0.3">
      <c r="B39" s="3"/>
      <c r="D39" s="1"/>
      <c r="E39" s="1"/>
      <c r="I39" s="3"/>
      <c r="K39" s="1"/>
      <c r="L39" s="1"/>
    </row>
    <row r="40" spans="1:13" ht="14.45" hidden="1" x14ac:dyDescent="0.3">
      <c r="A40" t="s">
        <v>72</v>
      </c>
      <c r="B40" s="70">
        <f>IF(H4=1,0.76,IF(H4=2,1,IF(H4=3,1.26,0)))</f>
        <v>1</v>
      </c>
    </row>
    <row r="41" spans="1:13" ht="14.45" hidden="1" x14ac:dyDescent="0.3">
      <c r="F41" s="3"/>
      <c r="M41" s="3"/>
    </row>
    <row r="42" spans="1:13" ht="14.45" hidden="1" x14ac:dyDescent="0.3">
      <c r="B42" s="3"/>
      <c r="D42" s="1"/>
      <c r="E42" s="1"/>
      <c r="I42" s="3"/>
      <c r="K42" s="1"/>
      <c r="L42" s="1"/>
    </row>
    <row r="43" spans="1:13" ht="14.45" hidden="1" x14ac:dyDescent="0.3"/>
    <row r="44" spans="1:13" ht="15.6" hidden="1" x14ac:dyDescent="0.35">
      <c r="A44" s="2" t="s">
        <v>30</v>
      </c>
      <c r="B44">
        <v>0.32</v>
      </c>
      <c r="H44" s="2"/>
    </row>
    <row r="45" spans="1:13" ht="14.45" hidden="1" x14ac:dyDescent="0.3"/>
    <row r="46" spans="1:13" ht="14.45" hidden="1" x14ac:dyDescent="0.3">
      <c r="A46" s="2" t="s">
        <v>32</v>
      </c>
      <c r="B46">
        <v>11</v>
      </c>
      <c r="H46" s="2"/>
    </row>
    <row r="47" spans="1:13" ht="14.45" hidden="1" x14ac:dyDescent="0.3"/>
    <row r="48" spans="1:13" ht="14.45" hidden="1" x14ac:dyDescent="0.3">
      <c r="A48" t="s">
        <v>47</v>
      </c>
      <c r="D48">
        <v>1</v>
      </c>
      <c r="E48">
        <v>180</v>
      </c>
    </row>
    <row r="49" spans="4:10" ht="14.45" hidden="1" x14ac:dyDescent="0.3">
      <c r="D49">
        <v>2</v>
      </c>
      <c r="E49">
        <v>260</v>
      </c>
    </row>
    <row r="50" spans="4:10" ht="14.45" hidden="1" x14ac:dyDescent="0.3">
      <c r="H50" s="22" t="s">
        <v>33</v>
      </c>
    </row>
    <row r="51" spans="4:10" ht="14.45" hidden="1" x14ac:dyDescent="0.3"/>
    <row r="52" spans="4:10" ht="14.45" hidden="1" x14ac:dyDescent="0.3">
      <c r="H52" s="29" t="s">
        <v>39</v>
      </c>
      <c r="I52" s="28"/>
      <c r="J52" s="29" t="s">
        <v>31</v>
      </c>
    </row>
    <row r="53" spans="4:10" ht="14.45" hidden="1" x14ac:dyDescent="0.3"/>
    <row r="54" spans="4:10" ht="14.45" hidden="1" x14ac:dyDescent="0.3">
      <c r="H54" s="29" t="s">
        <v>40</v>
      </c>
      <c r="J54" s="29" t="s">
        <v>34</v>
      </c>
    </row>
    <row r="55" spans="4:10" ht="14.45" hidden="1" x14ac:dyDescent="0.3"/>
    <row r="56" spans="4:10" ht="14.45" hidden="1" x14ac:dyDescent="0.3">
      <c r="H56" s="29" t="s">
        <v>41</v>
      </c>
      <c r="J56" s="29" t="s">
        <v>35</v>
      </c>
    </row>
    <row r="57" spans="4:10" ht="14.45" hidden="1" x14ac:dyDescent="0.3"/>
    <row r="58" spans="4:10" ht="14.45" hidden="1" x14ac:dyDescent="0.3">
      <c r="H58" s="29" t="s">
        <v>42</v>
      </c>
      <c r="J58" s="29" t="s">
        <v>36</v>
      </c>
    </row>
    <row r="59" spans="4:10" ht="14.45" hidden="1" x14ac:dyDescent="0.3"/>
    <row r="60" spans="4:10" ht="14.45" hidden="1" x14ac:dyDescent="0.3">
      <c r="H60" s="29" t="s">
        <v>43</v>
      </c>
      <c r="J60" s="29" t="s">
        <v>37</v>
      </c>
    </row>
    <row r="61" spans="4:10" ht="14.45" hidden="1" x14ac:dyDescent="0.3"/>
    <row r="62" spans="4:10" ht="14.45" hidden="1" x14ac:dyDescent="0.3">
      <c r="H62" s="29" t="s">
        <v>44</v>
      </c>
      <c r="J62" s="29" t="s">
        <v>38</v>
      </c>
    </row>
    <row r="63" spans="4:10" ht="14.45" hidden="1" x14ac:dyDescent="0.3">
      <c r="H63" s="29"/>
      <c r="J63" s="29"/>
    </row>
    <row r="64" spans="4:10" ht="14.45" hidden="1" x14ac:dyDescent="0.3">
      <c r="H64" s="29"/>
      <c r="J64" s="29"/>
    </row>
    <row r="65" spans="2:12" ht="14.45" hidden="1" x14ac:dyDescent="0.3">
      <c r="B65" t="s">
        <v>49</v>
      </c>
      <c r="G65" s="4"/>
      <c r="H65" s="4"/>
      <c r="I65" s="61"/>
      <c r="J65" s="4"/>
      <c r="K65" s="4"/>
      <c r="L65" s="4"/>
    </row>
    <row r="66" spans="2:12" ht="18" hidden="1" x14ac:dyDescent="0.35">
      <c r="B66" s="27" t="s">
        <v>50</v>
      </c>
      <c r="C66" s="8"/>
      <c r="D66" s="8"/>
      <c r="E66" s="8"/>
      <c r="F66" s="8"/>
      <c r="G66" s="53"/>
      <c r="H66" s="12"/>
      <c r="I66" s="12"/>
      <c r="J66" s="12"/>
      <c r="K66" s="12"/>
      <c r="L66" s="12"/>
    </row>
    <row r="67" spans="2:12" ht="18" hidden="1" x14ac:dyDescent="0.35">
      <c r="B67" s="9" t="s">
        <v>1</v>
      </c>
      <c r="C67" s="60" t="s">
        <v>60</v>
      </c>
      <c r="D67" s="55"/>
      <c r="E67" s="57"/>
      <c r="F67" s="39"/>
      <c r="G67" s="39"/>
      <c r="H67" s="12"/>
      <c r="I67" s="39"/>
      <c r="J67" s="4"/>
      <c r="K67" s="12"/>
      <c r="L67" s="12"/>
    </row>
    <row r="68" spans="2:12" ht="18" hidden="1" x14ac:dyDescent="0.35">
      <c r="B68" s="24" t="s">
        <v>2</v>
      </c>
      <c r="C68" s="16">
        <v>180</v>
      </c>
      <c r="D68" s="18">
        <v>260</v>
      </c>
      <c r="E68" s="24"/>
      <c r="F68" s="39"/>
      <c r="G68" s="39"/>
      <c r="H68" s="39"/>
      <c r="I68" s="39"/>
      <c r="J68" s="39"/>
      <c r="K68" s="39"/>
      <c r="L68" s="39"/>
    </row>
    <row r="69" spans="2:12" ht="18" hidden="1" x14ac:dyDescent="0.35">
      <c r="B69" s="13">
        <v>1000</v>
      </c>
      <c r="C69" s="31">
        <f t="shared" ref="C69:C77" si="0">ABS((C12/($D$3-$D$4)/1.163)*4/(3.143*$B$46^2)/3.6)*($B$46/1000)/(0.000001*(-0.000001568*(ABS($D$3+$D$4)/2)^3+0.0003846*(ABS($D$3+$D$4)/2)^2-0.03584*(ABS($D$3+$D$4)/2)+1.577))+0.1663</f>
        <v>5554.673535180269</v>
      </c>
      <c r="D69" s="32">
        <f>ABS((D12/($D$3-$D$4)/1.163/2)*4/(3.143*$B$46^2)/3.6)*($B$46/1000)/(0.000001*(-0.000001568*(ABS($D$3+$D$4)/2)^3+0.0003846*(ABS($D$3+$D$4)/2)^2-0.03584*(ABS($D$3+$D$4)/2)+1.577))+0.1663</f>
        <v>4179.3668790573629</v>
      </c>
      <c r="E69" s="33"/>
      <c r="F69" s="34"/>
      <c r="G69" s="12"/>
      <c r="H69" s="34"/>
      <c r="I69" s="34"/>
      <c r="J69" s="34"/>
      <c r="K69" s="34"/>
      <c r="L69" s="34"/>
    </row>
    <row r="70" spans="2:12" ht="18" hidden="1" x14ac:dyDescent="0.35">
      <c r="B70" s="21">
        <v>1250</v>
      </c>
      <c r="C70" s="34">
        <f t="shared" si="0"/>
        <v>7386.1957050538604</v>
      </c>
      <c r="D70" s="35">
        <f t="shared" ref="D70:D77" si="1">ABS((D13/($D$3-$D$4)/1.163/2)*4/(3.143*$B$46^2)/3.6)*($B$46/1000)/(0.000001*(-0.000001568*(ABS($D$3+$D$4)/2)^3+0.0003846*(ABS($D$3+$D$4)/2)^2-0.03584*(ABS($D$3+$D$4)/2)+1.577))+0.1663</f>
        <v>5558.0035641009845</v>
      </c>
      <c r="E70" s="33"/>
      <c r="F70" s="34"/>
      <c r="G70" s="12"/>
      <c r="H70" s="34"/>
      <c r="I70" s="34"/>
      <c r="J70" s="34"/>
      <c r="K70" s="34"/>
      <c r="L70" s="34"/>
    </row>
    <row r="71" spans="2:12" ht="18" hidden="1" x14ac:dyDescent="0.35">
      <c r="B71" s="21">
        <v>1500</v>
      </c>
      <c r="C71" s="34">
        <f t="shared" si="0"/>
        <v>9191.0775524565634</v>
      </c>
      <c r="D71" s="38">
        <f t="shared" si="1"/>
        <v>6909.9999267283074</v>
      </c>
      <c r="E71" s="33"/>
      <c r="F71" s="34"/>
      <c r="G71" s="12"/>
      <c r="H71" s="34"/>
      <c r="I71" s="34"/>
      <c r="J71" s="34"/>
      <c r="K71" s="34"/>
      <c r="L71" s="34"/>
    </row>
    <row r="72" spans="2:12" ht="18" hidden="1" x14ac:dyDescent="0.35">
      <c r="B72" s="13">
        <v>1750</v>
      </c>
      <c r="C72" s="31">
        <f t="shared" si="0"/>
        <v>10955.998916152932</v>
      </c>
      <c r="D72" s="32">
        <f t="shared" si="1"/>
        <v>8235.3559669393289</v>
      </c>
      <c r="E72" s="33"/>
      <c r="F72" s="34"/>
      <c r="G72" s="12"/>
      <c r="H72" s="34"/>
      <c r="I72" s="34"/>
      <c r="J72" s="34"/>
      <c r="K72" s="34"/>
      <c r="L72" s="34"/>
    </row>
    <row r="73" spans="2:12" ht="18" hidden="1" x14ac:dyDescent="0.35">
      <c r="B73" s="21">
        <v>2000</v>
      </c>
      <c r="C73" s="34">
        <f t="shared" si="0"/>
        <v>12700.94003799613</v>
      </c>
      <c r="D73" s="35">
        <f t="shared" si="1"/>
        <v>9544.0618056401599</v>
      </c>
      <c r="E73" s="33"/>
      <c r="F73" s="34"/>
      <c r="G73" s="12"/>
      <c r="H73" s="34"/>
      <c r="I73" s="34"/>
      <c r="J73" s="34"/>
      <c r="K73" s="34"/>
      <c r="L73" s="34"/>
    </row>
    <row r="74" spans="2:12" ht="18" hidden="1" x14ac:dyDescent="0.35">
      <c r="B74" s="19">
        <v>2250</v>
      </c>
      <c r="C74" s="37">
        <f t="shared" si="0"/>
        <v>14425.900917986168</v>
      </c>
      <c r="D74" s="38">
        <f t="shared" si="1"/>
        <v>10839.447483132839</v>
      </c>
      <c r="E74" s="33"/>
      <c r="F74" s="34"/>
      <c r="G74" s="12"/>
      <c r="H74" s="34"/>
      <c r="I74" s="34"/>
      <c r="J74" s="34"/>
      <c r="K74" s="34"/>
      <c r="L74" s="34"/>
    </row>
    <row r="75" spans="2:12" ht="18" hidden="1" x14ac:dyDescent="0.35">
      <c r="B75" s="21">
        <v>2500</v>
      </c>
      <c r="C75" s="34">
        <f t="shared" si="0"/>
        <v>16137.54163674076</v>
      </c>
      <c r="D75" s="32">
        <f t="shared" si="1"/>
        <v>12119.847979266349</v>
      </c>
      <c r="E75" s="33"/>
      <c r="F75" s="34"/>
      <c r="G75" s="12"/>
      <c r="H75" s="34"/>
      <c r="I75" s="34"/>
      <c r="J75" s="34"/>
      <c r="K75" s="34"/>
      <c r="L75" s="34"/>
    </row>
    <row r="76" spans="2:12" ht="18" hidden="1" x14ac:dyDescent="0.35">
      <c r="B76" s="21">
        <v>2750</v>
      </c>
      <c r="C76" s="34">
        <f t="shared" si="0"/>
        <v>17829.202113642186</v>
      </c>
      <c r="D76" s="35">
        <f t="shared" si="1"/>
        <v>13390.258354493746</v>
      </c>
      <c r="E76" s="33"/>
      <c r="F76" s="34"/>
      <c r="G76" s="12"/>
      <c r="H76" s="34"/>
      <c r="I76" s="34"/>
      <c r="J76" s="34"/>
      <c r="K76" s="34"/>
      <c r="L76" s="34"/>
    </row>
    <row r="77" spans="2:12" ht="18" hidden="1" x14ac:dyDescent="0.35">
      <c r="B77" s="19">
        <v>3000</v>
      </c>
      <c r="C77" s="37">
        <f t="shared" si="0"/>
        <v>19514.202509925886</v>
      </c>
      <c r="D77" s="38">
        <f t="shared" si="1"/>
        <v>14649.013588664013</v>
      </c>
      <c r="E77" s="33"/>
      <c r="F77" s="34"/>
      <c r="G77" s="12"/>
      <c r="H77" s="34"/>
      <c r="I77" s="34"/>
      <c r="J77" s="34"/>
      <c r="K77" s="34"/>
      <c r="L77" s="34"/>
    </row>
    <row r="78" spans="2:12" ht="18" hidden="1" x14ac:dyDescent="0.35">
      <c r="B78" s="12"/>
      <c r="C78" s="34"/>
      <c r="D78" s="34"/>
      <c r="E78" s="34"/>
      <c r="F78" s="34"/>
      <c r="G78" s="12"/>
      <c r="H78" s="34"/>
      <c r="I78" s="34"/>
      <c r="J78" s="34"/>
      <c r="K78" s="34"/>
      <c r="L78" s="34"/>
    </row>
    <row r="79" spans="2:12" ht="18" hidden="1" x14ac:dyDescent="0.35">
      <c r="B79" s="12"/>
      <c r="C79" s="34"/>
      <c r="D79" s="34"/>
      <c r="E79" s="34"/>
      <c r="F79" s="34"/>
      <c r="G79" s="12"/>
      <c r="H79" s="34"/>
      <c r="I79" s="34"/>
      <c r="J79" s="34"/>
      <c r="K79" s="34"/>
      <c r="L79" s="34"/>
    </row>
    <row r="80" spans="2:12" ht="18" hidden="1" x14ac:dyDescent="0.35">
      <c r="B80" s="12"/>
      <c r="C80" s="34"/>
      <c r="D80" s="34"/>
      <c r="E80" s="34"/>
      <c r="F80" s="34"/>
      <c r="G80" s="12"/>
      <c r="H80" s="34"/>
      <c r="I80" s="34"/>
      <c r="J80" s="34"/>
      <c r="K80" s="34"/>
      <c r="L80" s="34"/>
    </row>
    <row r="81" spans="2:13" ht="18" hidden="1" x14ac:dyDescent="0.35">
      <c r="B81" s="12"/>
      <c r="C81" s="34"/>
      <c r="D81" s="34"/>
      <c r="E81" s="34"/>
      <c r="F81" s="34"/>
      <c r="G81" s="12"/>
      <c r="H81" s="34"/>
      <c r="I81" s="34"/>
      <c r="J81" s="34"/>
      <c r="K81" s="34"/>
      <c r="L81" s="34"/>
    </row>
    <row r="82" spans="2:13" ht="18" hidden="1" x14ac:dyDescent="0.35">
      <c r="B82" s="12"/>
      <c r="C82" s="34"/>
      <c r="D82" s="34"/>
      <c r="E82" s="34"/>
      <c r="F82" s="34"/>
      <c r="G82" s="12"/>
      <c r="H82" s="34"/>
      <c r="I82" s="34"/>
      <c r="J82" s="34"/>
      <c r="K82" s="34"/>
      <c r="L82" s="34"/>
    </row>
    <row r="83" spans="2:13" ht="18" hidden="1" x14ac:dyDescent="0.35">
      <c r="B83" s="12"/>
      <c r="C83" s="34"/>
      <c r="D83" s="34"/>
      <c r="E83" s="34"/>
      <c r="F83" s="34"/>
      <c r="G83" s="12"/>
      <c r="H83" s="34"/>
      <c r="I83" s="34"/>
      <c r="J83" s="34"/>
      <c r="K83" s="34"/>
      <c r="L83" s="34"/>
    </row>
    <row r="84" spans="2:13" ht="18" hidden="1" x14ac:dyDescent="0.35">
      <c r="B84" s="12"/>
      <c r="C84" s="34"/>
      <c r="D84" s="34"/>
      <c r="E84" s="34"/>
      <c r="F84" s="34"/>
      <c r="G84" s="12"/>
      <c r="H84" s="34"/>
      <c r="I84" s="34"/>
      <c r="J84" s="34"/>
      <c r="K84" s="34"/>
      <c r="L84" s="34"/>
    </row>
    <row r="85" spans="2:13" ht="14.45" hidden="1" x14ac:dyDescent="0.3">
      <c r="H85" s="29"/>
      <c r="J85" s="29"/>
    </row>
    <row r="86" spans="2:13" ht="14.45" x14ac:dyDescent="0.3">
      <c r="H86" s="29"/>
      <c r="J86" s="29"/>
    </row>
    <row r="87" spans="2:13" ht="20.25" x14ac:dyDescent="0.35">
      <c r="F87" s="96" t="s">
        <v>77</v>
      </c>
      <c r="G87" s="98" t="s">
        <v>81</v>
      </c>
    </row>
    <row r="88" spans="2:13" ht="14.45" x14ac:dyDescent="0.3">
      <c r="G88" s="4"/>
      <c r="H88" s="4"/>
      <c r="I88" s="4"/>
      <c r="J88" s="4"/>
    </row>
    <row r="89" spans="2:13" ht="18" x14ac:dyDescent="0.35">
      <c r="B89" s="27" t="s">
        <v>59</v>
      </c>
      <c r="C89" s="8"/>
      <c r="D89" s="8"/>
      <c r="E89" s="12"/>
      <c r="F89" s="8"/>
      <c r="G89" s="53"/>
      <c r="H89" s="12"/>
      <c r="I89" s="12"/>
      <c r="J89" s="12"/>
      <c r="L89" s="8"/>
      <c r="M89" s="8"/>
    </row>
    <row r="90" spans="2:13" ht="18" x14ac:dyDescent="0.35">
      <c r="B90" s="25" t="s">
        <v>1</v>
      </c>
      <c r="C90" s="59" t="s">
        <v>60</v>
      </c>
      <c r="D90" s="55"/>
      <c r="E90" s="57"/>
      <c r="F90" s="39"/>
      <c r="G90" s="39"/>
      <c r="H90" s="12"/>
      <c r="I90" s="39"/>
      <c r="J90" s="4"/>
      <c r="L90" s="12"/>
      <c r="M90" s="12"/>
    </row>
    <row r="91" spans="2:13" ht="18" x14ac:dyDescent="0.35">
      <c r="B91" s="24" t="s">
        <v>2</v>
      </c>
      <c r="C91" s="16">
        <v>180</v>
      </c>
      <c r="D91" s="18">
        <v>260</v>
      </c>
      <c r="E91" s="24"/>
      <c r="F91" s="39"/>
      <c r="G91" s="39"/>
      <c r="H91" s="39"/>
      <c r="I91" s="39"/>
      <c r="J91" s="39"/>
      <c r="L91" s="39"/>
      <c r="M91" s="39"/>
    </row>
    <row r="92" spans="2:13" ht="18" x14ac:dyDescent="0.35">
      <c r="B92" s="13">
        <v>1000</v>
      </c>
      <c r="C92" s="41">
        <f>IF(C69&lt;500,"FAIL",IF($D$7&gt;0,C12*(0.0952*LN(C69)+0.1663),"FAIL"))</f>
        <v>823.28279232280329</v>
      </c>
      <c r="D92" s="43">
        <f>IF(D69&lt;500,"FAIL",IF($D$7&gt;0,D12*(0.0952*LN(D69)+0.1663),"FAIL"))</f>
        <v>1204.8843477407486</v>
      </c>
      <c r="E92" s="33"/>
      <c r="F92" s="34"/>
      <c r="G92" s="12"/>
      <c r="H92" s="34"/>
      <c r="I92" s="34"/>
      <c r="J92" s="34"/>
      <c r="L92" s="34"/>
      <c r="M92" s="34"/>
    </row>
    <row r="93" spans="2:13" ht="18" x14ac:dyDescent="0.35">
      <c r="B93" s="21">
        <v>1250</v>
      </c>
      <c r="C93" s="44">
        <f t="shared" ref="C93:D100" si="2">IF(C70&lt;500,"FAIL",IF($D$7&gt;0,C13*(0.0952*LN(C70)+0.1663),"FAIL"))</f>
        <v>1124.8354231752382</v>
      </c>
      <c r="D93" s="46">
        <f t="shared" si="2"/>
        <v>1647.6479560280929</v>
      </c>
      <c r="E93" s="33"/>
      <c r="F93" s="34"/>
      <c r="G93" s="12"/>
      <c r="H93" s="34"/>
      <c r="I93" s="34"/>
      <c r="J93" s="34"/>
      <c r="L93" s="34"/>
      <c r="M93" s="34"/>
    </row>
    <row r="94" spans="2:13" ht="18" x14ac:dyDescent="0.35">
      <c r="B94" s="21">
        <v>1500</v>
      </c>
      <c r="C94" s="47">
        <f t="shared" si="2"/>
        <v>1428.4264359480576</v>
      </c>
      <c r="D94" s="49">
        <f t="shared" si="2"/>
        <v>2091.4642801569908</v>
      </c>
      <c r="E94" s="33"/>
      <c r="F94" s="34"/>
      <c r="G94" s="12"/>
      <c r="H94" s="34"/>
      <c r="I94" s="34"/>
      <c r="J94" s="34"/>
      <c r="L94" s="34"/>
      <c r="M94" s="34"/>
    </row>
    <row r="95" spans="2:13" ht="18" x14ac:dyDescent="0.35">
      <c r="B95" s="13">
        <v>1750</v>
      </c>
      <c r="C95" s="41">
        <f t="shared" si="2"/>
        <v>1730.2337637336284</v>
      </c>
      <c r="D95" s="43">
        <f t="shared" si="2"/>
        <v>2533.9322655871706</v>
      </c>
      <c r="E95" s="33"/>
      <c r="F95" s="34"/>
      <c r="G95" s="12"/>
      <c r="H95" s="34"/>
      <c r="I95" s="34"/>
      <c r="J95" s="34"/>
      <c r="L95" s="34"/>
      <c r="M95" s="34"/>
    </row>
    <row r="96" spans="2:13" ht="18" x14ac:dyDescent="0.35">
      <c r="B96" s="21">
        <v>2000</v>
      </c>
      <c r="C96" s="44">
        <f t="shared" si="2"/>
        <v>2032.6394599559505</v>
      </c>
      <c r="D96" s="46">
        <f t="shared" si="2"/>
        <v>2976.8549158445899</v>
      </c>
      <c r="E96" s="33"/>
      <c r="F96" s="34"/>
      <c r="G96" s="12"/>
      <c r="H96" s="34"/>
      <c r="I96" s="34"/>
      <c r="J96" s="34"/>
      <c r="L96" s="34"/>
      <c r="M96" s="34"/>
    </row>
    <row r="97" spans="2:13" ht="18" x14ac:dyDescent="0.35">
      <c r="B97" s="19">
        <v>2250</v>
      </c>
      <c r="C97" s="47">
        <f t="shared" si="2"/>
        <v>2334.9629968052855</v>
      </c>
      <c r="D97" s="49">
        <f t="shared" si="2"/>
        <v>3420.3398805994239</v>
      </c>
      <c r="E97" s="33"/>
      <c r="F97" s="34"/>
      <c r="G97" s="12"/>
      <c r="H97" s="34"/>
      <c r="I97" s="34"/>
      <c r="J97" s="34"/>
      <c r="L97" s="34"/>
      <c r="M97" s="34"/>
    </row>
    <row r="98" spans="2:13" ht="18" x14ac:dyDescent="0.35">
      <c r="B98" s="21">
        <v>2500</v>
      </c>
      <c r="C98" s="41">
        <f t="shared" si="2"/>
        <v>2637.8740980365201</v>
      </c>
      <c r="D98" s="43">
        <f t="shared" si="2"/>
        <v>3863.056092662116</v>
      </c>
      <c r="E98" s="33"/>
      <c r="F98" s="34"/>
      <c r="G98" s="12"/>
      <c r="H98" s="34"/>
      <c r="I98" s="34"/>
      <c r="J98" s="34"/>
      <c r="L98" s="34"/>
      <c r="M98" s="34"/>
    </row>
    <row r="99" spans="2:13" ht="18.75" x14ac:dyDescent="0.3">
      <c r="B99" s="21">
        <v>2750</v>
      </c>
      <c r="C99" s="44">
        <f t="shared" si="2"/>
        <v>2939.8048842382163</v>
      </c>
      <c r="D99" s="46">
        <f t="shared" si="2"/>
        <v>4306.1481971610447</v>
      </c>
      <c r="E99" s="33"/>
      <c r="F99" s="34"/>
      <c r="G99" s="12"/>
      <c r="H99" s="34"/>
      <c r="I99" s="34"/>
      <c r="J99" s="34"/>
      <c r="L99" s="34"/>
      <c r="M99" s="34"/>
    </row>
    <row r="100" spans="2:13" ht="18.75" x14ac:dyDescent="0.3">
      <c r="B100" s="19">
        <v>3000</v>
      </c>
      <c r="C100" s="47">
        <f t="shared" si="2"/>
        <v>3242.8314669459128</v>
      </c>
      <c r="D100" s="49">
        <f t="shared" si="2"/>
        <v>4748.5798307474515</v>
      </c>
      <c r="E100" s="33"/>
      <c r="F100" s="34"/>
      <c r="G100" s="12"/>
      <c r="H100" s="34"/>
      <c r="I100" s="34"/>
      <c r="J100" s="34"/>
      <c r="L100" s="34"/>
      <c r="M100" s="34"/>
    </row>
    <row r="101" spans="2:13" ht="18.75" x14ac:dyDescent="0.3">
      <c r="B101" s="12"/>
      <c r="C101" s="34"/>
      <c r="D101" s="34"/>
      <c r="E101" s="34"/>
      <c r="F101" s="34"/>
      <c r="G101" s="12"/>
      <c r="H101" s="34"/>
      <c r="I101" s="34"/>
      <c r="J101" s="34"/>
      <c r="L101" s="34"/>
      <c r="M101" s="34"/>
    </row>
    <row r="102" spans="2:13" ht="18.75" x14ac:dyDescent="0.3">
      <c r="B102" s="12"/>
      <c r="C102" s="34"/>
      <c r="D102" s="34"/>
      <c r="E102" s="34"/>
      <c r="F102" s="34"/>
      <c r="G102" s="12"/>
      <c r="H102" s="34"/>
      <c r="I102" s="34"/>
      <c r="J102" s="34"/>
      <c r="L102" s="34"/>
      <c r="M102" s="34"/>
    </row>
    <row r="103" spans="2:13" ht="18.75" x14ac:dyDescent="0.3">
      <c r="B103" s="12"/>
      <c r="C103" s="34"/>
      <c r="D103" s="34"/>
      <c r="E103" s="34"/>
      <c r="F103" s="34"/>
      <c r="G103" s="12"/>
      <c r="H103" s="34"/>
      <c r="I103" s="34"/>
      <c r="J103" s="34"/>
      <c r="L103" s="34"/>
      <c r="M103" s="34"/>
    </row>
    <row r="104" spans="2:13" ht="18.75" x14ac:dyDescent="0.3">
      <c r="B104" s="12"/>
      <c r="C104" s="34"/>
      <c r="D104" s="34"/>
      <c r="E104" s="34"/>
      <c r="F104" s="34"/>
      <c r="G104" s="12"/>
      <c r="H104" s="34"/>
      <c r="I104" s="34"/>
      <c r="J104" s="34"/>
      <c r="L104" s="34"/>
      <c r="M104" s="34"/>
    </row>
    <row r="105" spans="2:13" ht="18.75" x14ac:dyDescent="0.3">
      <c r="B105" s="12"/>
      <c r="C105" s="34"/>
      <c r="D105" s="34"/>
      <c r="E105" s="34"/>
      <c r="F105" s="34"/>
      <c r="G105" s="12"/>
      <c r="H105" s="34"/>
      <c r="I105" s="34"/>
      <c r="J105" s="34"/>
      <c r="L105" s="34"/>
      <c r="M105" s="34"/>
    </row>
    <row r="106" spans="2:13" ht="18.75" x14ac:dyDescent="0.3">
      <c r="B106" s="12"/>
      <c r="C106" s="34"/>
      <c r="D106" s="34"/>
      <c r="E106" s="34"/>
      <c r="F106" s="34"/>
      <c r="G106" s="12"/>
      <c r="H106" s="34"/>
      <c r="I106" s="34"/>
      <c r="J106" s="34"/>
      <c r="L106" s="34"/>
      <c r="M106" s="34"/>
    </row>
    <row r="107" spans="2:13" ht="18.75" x14ac:dyDescent="0.3">
      <c r="B107" s="12"/>
      <c r="C107" s="34"/>
      <c r="D107" s="34"/>
      <c r="E107" s="34"/>
      <c r="F107" s="34"/>
      <c r="G107" s="12"/>
      <c r="H107" s="34"/>
      <c r="I107" s="34"/>
      <c r="J107" s="34"/>
      <c r="L107" s="34"/>
      <c r="M107" s="34"/>
    </row>
  </sheetData>
  <sheetProtection password="CDBE" sheet="1" objects="1" scenarios="1"/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CorelPhotoPaint.Image.11" shapeId="3073" r:id="rId4">
          <objectPr defaultSize="0" autoPict="0" r:id="rId5">
            <anchor moveWithCells="1">
              <from>
                <xdr:col>10</xdr:col>
                <xdr:colOff>95250</xdr:colOff>
                <xdr:row>1</xdr:row>
                <xdr:rowOff>114300</xdr:rowOff>
              </from>
              <to>
                <xdr:col>13</xdr:col>
                <xdr:colOff>476250</xdr:colOff>
                <xdr:row>4</xdr:row>
                <xdr:rowOff>76200</xdr:rowOff>
              </to>
            </anchor>
          </objectPr>
        </oleObject>
      </mc:Choice>
      <mc:Fallback>
        <oleObject progId="CorelPhotoPaint.Image.11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workbookViewId="0">
      <selection activeCell="D3" sqref="D3"/>
    </sheetView>
  </sheetViews>
  <sheetFormatPr defaultRowHeight="15" x14ac:dyDescent="0.25"/>
  <cols>
    <col min="2" max="3" width="13.28515625" customWidth="1"/>
  </cols>
  <sheetData>
    <row r="1" spans="1:13" ht="21" x14ac:dyDescent="0.4">
      <c r="A1" s="23" t="s">
        <v>63</v>
      </c>
      <c r="L1" s="2" t="s">
        <v>82</v>
      </c>
    </row>
    <row r="2" spans="1:13" ht="14.45" x14ac:dyDescent="0.3">
      <c r="A2" t="s">
        <v>45</v>
      </c>
    </row>
    <row r="3" spans="1:13" ht="21" x14ac:dyDescent="0.45">
      <c r="C3" s="5" t="s">
        <v>8</v>
      </c>
      <c r="D3" s="72">
        <v>75</v>
      </c>
      <c r="E3" s="8" t="s">
        <v>69</v>
      </c>
      <c r="I3" s="68">
        <v>1</v>
      </c>
      <c r="J3" s="8" t="s">
        <v>67</v>
      </c>
    </row>
    <row r="4" spans="1:13" ht="21" x14ac:dyDescent="0.45">
      <c r="C4" s="5" t="s">
        <v>9</v>
      </c>
      <c r="D4" s="72">
        <v>65</v>
      </c>
      <c r="E4" s="8" t="s">
        <v>69</v>
      </c>
      <c r="G4" s="5" t="s">
        <v>70</v>
      </c>
      <c r="H4" s="74">
        <v>2</v>
      </c>
      <c r="I4" s="68">
        <v>2</v>
      </c>
      <c r="J4" s="8" t="s">
        <v>86</v>
      </c>
      <c r="K4" s="99"/>
    </row>
    <row r="5" spans="1:13" ht="21.75" x14ac:dyDescent="0.35">
      <c r="C5" s="5" t="s">
        <v>10</v>
      </c>
      <c r="D5" s="72">
        <v>20</v>
      </c>
      <c r="E5" s="8" t="s">
        <v>69</v>
      </c>
      <c r="F5" s="101" t="s">
        <v>87</v>
      </c>
      <c r="I5" s="68">
        <v>3</v>
      </c>
      <c r="J5" s="8" t="s">
        <v>68</v>
      </c>
    </row>
    <row r="6" spans="1:13" ht="18.75" x14ac:dyDescent="0.3">
      <c r="C6" s="5"/>
      <c r="D6" s="104"/>
      <c r="E6" s="8"/>
      <c r="F6" s="101" t="s">
        <v>85</v>
      </c>
      <c r="I6" s="68"/>
      <c r="J6" s="8"/>
    </row>
    <row r="8" spans="1:13" ht="20.25" x14ac:dyDescent="0.35">
      <c r="C8" s="6" t="s">
        <v>11</v>
      </c>
      <c r="D8" s="69">
        <f>(D3-D4)/LN((D3-D5)/(D4-D5))</f>
        <v>49.83288654563971</v>
      </c>
      <c r="E8" s="8" t="s">
        <v>0</v>
      </c>
      <c r="F8" s="8" t="s">
        <v>83</v>
      </c>
      <c r="H8" s="7"/>
      <c r="I8" s="8"/>
    </row>
    <row r="9" spans="1:13" ht="14.45" hidden="1" x14ac:dyDescent="0.3">
      <c r="B9" t="s">
        <v>46</v>
      </c>
      <c r="G9" s="4"/>
      <c r="H9" s="4"/>
      <c r="I9" s="4"/>
      <c r="J9" s="4"/>
    </row>
    <row r="10" spans="1:13" ht="18" hidden="1" x14ac:dyDescent="0.35">
      <c r="B10" s="27" t="s">
        <v>64</v>
      </c>
      <c r="C10" s="8"/>
      <c r="D10" s="8"/>
      <c r="E10" s="8"/>
      <c r="F10" s="8"/>
      <c r="G10" s="53"/>
      <c r="H10" s="12"/>
      <c r="I10" s="12"/>
      <c r="J10" s="12"/>
      <c r="L10" s="8"/>
      <c r="M10" s="8"/>
    </row>
    <row r="11" spans="1:13" ht="18" hidden="1" x14ac:dyDescent="0.35">
      <c r="B11" s="9" t="s">
        <v>1</v>
      </c>
      <c r="C11" s="60" t="s">
        <v>4</v>
      </c>
      <c r="D11" s="57"/>
      <c r="E11" s="4"/>
      <c r="F11" s="39"/>
      <c r="G11" s="39"/>
      <c r="H11" s="12"/>
      <c r="I11" s="39"/>
      <c r="J11" s="4"/>
      <c r="L11" s="12"/>
      <c r="M11" s="12"/>
    </row>
    <row r="12" spans="1:13" ht="18" hidden="1" x14ac:dyDescent="0.35">
      <c r="B12" s="24" t="s">
        <v>2</v>
      </c>
      <c r="C12" s="16">
        <v>240</v>
      </c>
      <c r="D12" s="24"/>
      <c r="E12" s="39"/>
      <c r="F12" s="39"/>
      <c r="G12" s="39"/>
      <c r="H12" s="39"/>
      <c r="I12" s="39"/>
      <c r="J12" s="39"/>
      <c r="L12" s="39"/>
      <c r="M12" s="39"/>
    </row>
    <row r="13" spans="1:13" ht="18" hidden="1" x14ac:dyDescent="0.35">
      <c r="B13" s="13">
        <v>600</v>
      </c>
      <c r="C13" s="62">
        <f>865*$B$41*ABS($D$8/49.833)^$F$30</f>
        <v>864.997811671867</v>
      </c>
      <c r="D13" s="44"/>
      <c r="E13" s="45"/>
      <c r="F13" s="45"/>
      <c r="G13" s="12"/>
      <c r="H13" s="45"/>
      <c r="I13" s="45"/>
      <c r="J13" s="45"/>
      <c r="L13" s="45"/>
      <c r="M13" s="45"/>
    </row>
    <row r="14" spans="1:13" ht="18" hidden="1" x14ac:dyDescent="0.35">
      <c r="B14" s="19">
        <v>1000</v>
      </c>
      <c r="C14" s="63">
        <f>1819*$B$41*ABS($D$8/49.833)^$F$30</f>
        <v>1818.995398186273</v>
      </c>
      <c r="D14" s="44"/>
      <c r="E14" s="45"/>
      <c r="F14" s="45"/>
      <c r="G14" s="12"/>
      <c r="H14" s="45"/>
      <c r="I14" s="45"/>
      <c r="J14" s="45"/>
      <c r="L14" s="45"/>
      <c r="M14" s="45"/>
    </row>
    <row r="15" spans="1:13" ht="18" hidden="1" x14ac:dyDescent="0.35">
      <c r="B15" s="13">
        <v>1400</v>
      </c>
      <c r="C15" s="62">
        <f>2732*$B$41*ABS($D$8/49.833)^$F$30</f>
        <v>2731.9930884249025</v>
      </c>
      <c r="D15" s="44"/>
      <c r="E15" s="45"/>
      <c r="F15" s="45"/>
      <c r="G15" s="12"/>
      <c r="H15" s="45"/>
      <c r="I15" s="45"/>
      <c r="J15" s="45"/>
      <c r="L15" s="45"/>
      <c r="M15" s="45"/>
    </row>
    <row r="16" spans="1:13" ht="18" hidden="1" x14ac:dyDescent="0.35">
      <c r="B16" s="19">
        <v>1800</v>
      </c>
      <c r="C16" s="63">
        <f>3621*$B$41*ABS($D$8/49.833)^$F$30</f>
        <v>3620.9908393801506</v>
      </c>
      <c r="D16" s="44"/>
      <c r="E16" s="45"/>
      <c r="F16" s="45"/>
      <c r="G16" s="12"/>
      <c r="H16" s="45"/>
      <c r="I16" s="45"/>
      <c r="J16" s="45"/>
      <c r="L16" s="45"/>
      <c r="M16" s="45"/>
    </row>
    <row r="17" spans="1:13" ht="18" hidden="1" x14ac:dyDescent="0.35">
      <c r="B17" s="14"/>
      <c r="C17" s="42"/>
      <c r="D17" s="45"/>
      <c r="E17" s="45"/>
      <c r="F17" s="45"/>
      <c r="G17" s="12"/>
      <c r="H17" s="45"/>
      <c r="I17" s="45"/>
      <c r="J17" s="45"/>
      <c r="L17" s="45"/>
      <c r="M17" s="45"/>
    </row>
    <row r="18" spans="1:13" ht="18" hidden="1" x14ac:dyDescent="0.35">
      <c r="B18" s="12"/>
      <c r="C18" s="45"/>
      <c r="D18" s="45"/>
      <c r="E18" s="45"/>
      <c r="F18" s="45"/>
      <c r="G18" s="12"/>
      <c r="H18" s="45"/>
      <c r="I18" s="45"/>
      <c r="J18" s="45"/>
      <c r="L18" s="45"/>
      <c r="M18" s="45"/>
    </row>
    <row r="19" spans="1:13" ht="18" hidden="1" x14ac:dyDescent="0.35">
      <c r="B19" s="12"/>
      <c r="C19" s="45"/>
      <c r="D19" s="45"/>
      <c r="E19" s="45"/>
      <c r="F19" s="45"/>
      <c r="G19" s="12"/>
      <c r="H19" s="45"/>
      <c r="I19" s="45"/>
      <c r="J19" s="45"/>
      <c r="L19" s="45"/>
      <c r="M19" s="45"/>
    </row>
    <row r="20" spans="1:13" ht="18" hidden="1" x14ac:dyDescent="0.35">
      <c r="B20" s="12"/>
      <c r="C20" s="45"/>
      <c r="D20" s="45"/>
      <c r="E20" s="45"/>
      <c r="F20" s="45"/>
      <c r="G20" s="12"/>
      <c r="H20" s="45"/>
      <c r="I20" s="45"/>
      <c r="J20" s="45"/>
      <c r="L20" s="45"/>
      <c r="M20" s="45"/>
    </row>
    <row r="21" spans="1:13" ht="18" hidden="1" x14ac:dyDescent="0.35">
      <c r="B21" s="12"/>
      <c r="C21" s="45"/>
      <c r="D21" s="45"/>
      <c r="E21" s="45"/>
      <c r="F21" s="45"/>
      <c r="G21" s="12"/>
      <c r="H21" s="45"/>
      <c r="I21" s="45"/>
      <c r="J21" s="45"/>
      <c r="L21" s="45"/>
      <c r="M21" s="45"/>
    </row>
    <row r="22" spans="1:13" ht="18" hidden="1" x14ac:dyDescent="0.35">
      <c r="B22" s="12"/>
      <c r="C22" s="45"/>
      <c r="D22" s="45"/>
      <c r="E22" s="45"/>
      <c r="F22" s="45"/>
      <c r="G22" s="12"/>
      <c r="H22" s="45"/>
      <c r="I22" s="45"/>
      <c r="J22" s="45"/>
      <c r="L22" s="45"/>
      <c r="M22" s="45"/>
    </row>
    <row r="23" spans="1:13" ht="18" hidden="1" x14ac:dyDescent="0.35">
      <c r="B23" s="12"/>
      <c r="C23" s="45"/>
      <c r="D23" s="45"/>
      <c r="E23" s="45"/>
      <c r="F23" s="45"/>
      <c r="G23" s="12"/>
      <c r="H23" s="45"/>
      <c r="I23" s="45"/>
      <c r="J23" s="45"/>
      <c r="L23" s="45"/>
      <c r="M23" s="45"/>
    </row>
    <row r="24" spans="1:13" ht="18" hidden="1" x14ac:dyDescent="0.35">
      <c r="B24" s="12"/>
      <c r="C24" s="45"/>
      <c r="D24" s="45"/>
      <c r="E24" s="45"/>
      <c r="F24" s="45"/>
      <c r="G24" s="12"/>
      <c r="H24" s="45"/>
      <c r="I24" s="45"/>
      <c r="J24" s="45"/>
      <c r="L24" s="45"/>
      <c r="M24" s="45"/>
    </row>
    <row r="25" spans="1:13" ht="18" hidden="1" x14ac:dyDescent="0.35">
      <c r="B25" s="12"/>
      <c r="C25" s="45"/>
      <c r="D25" s="45"/>
      <c r="E25" s="45"/>
      <c r="F25" s="45"/>
      <c r="G25" s="12"/>
      <c r="H25" s="45"/>
      <c r="I25" s="45"/>
      <c r="J25" s="45"/>
      <c r="L25" s="45"/>
      <c r="M25" s="45"/>
    </row>
    <row r="26" spans="1:13" ht="18" hidden="1" x14ac:dyDescent="0.35">
      <c r="B26" s="12"/>
      <c r="C26" s="45"/>
      <c r="D26" s="45"/>
      <c r="E26" s="45"/>
      <c r="F26" s="45"/>
      <c r="G26" s="12"/>
      <c r="H26" s="45"/>
      <c r="I26" s="45"/>
      <c r="J26" s="45"/>
      <c r="L26" s="45"/>
      <c r="M26" s="45"/>
    </row>
    <row r="27" spans="1:13" ht="18" hidden="1" x14ac:dyDescent="0.35">
      <c r="B27" s="12"/>
      <c r="C27" s="45"/>
      <c r="D27" s="45"/>
      <c r="E27" s="45"/>
      <c r="F27" s="45"/>
      <c r="G27" s="12"/>
      <c r="H27" s="45"/>
      <c r="I27" s="45"/>
      <c r="J27" s="45"/>
      <c r="L27" s="45"/>
      <c r="M27" s="45"/>
    </row>
    <row r="28" spans="1:13" ht="18" hidden="1" x14ac:dyDescent="0.35">
      <c r="B28" s="12"/>
      <c r="C28" s="45"/>
      <c r="D28" s="45"/>
      <c r="E28" s="45"/>
      <c r="F28" s="45"/>
      <c r="G28" s="12"/>
      <c r="H28" s="45"/>
      <c r="I28" s="45"/>
      <c r="J28" s="45"/>
      <c r="L28" s="45"/>
      <c r="M28" s="45"/>
    </row>
    <row r="29" spans="1:13" ht="14.45" hidden="1" x14ac:dyDescent="0.3"/>
    <row r="30" spans="1:13" ht="14.45" hidden="1" x14ac:dyDescent="0.3">
      <c r="A30" t="s">
        <v>64</v>
      </c>
      <c r="F30" s="3">
        <v>1.1112</v>
      </c>
      <c r="M30" s="3"/>
    </row>
    <row r="31" spans="1:13" ht="14.45" hidden="1" x14ac:dyDescent="0.3">
      <c r="B31" s="3"/>
      <c r="D31" s="1"/>
      <c r="E31" s="1"/>
      <c r="I31" s="3"/>
      <c r="K31" s="1"/>
      <c r="L31" s="1"/>
    </row>
    <row r="32" spans="1:13" ht="14.45" hidden="1" x14ac:dyDescent="0.3"/>
    <row r="33" spans="1:13" ht="14.45" hidden="1" x14ac:dyDescent="0.3">
      <c r="F33" s="3"/>
      <c r="M33" s="3"/>
    </row>
    <row r="34" spans="1:13" ht="14.45" hidden="1" x14ac:dyDescent="0.3">
      <c r="B34" s="3"/>
      <c r="D34" s="1"/>
      <c r="E34" s="1"/>
      <c r="I34" s="3"/>
      <c r="K34" s="1"/>
      <c r="L34" s="1"/>
    </row>
    <row r="35" spans="1:13" ht="14.45" hidden="1" x14ac:dyDescent="0.3"/>
    <row r="36" spans="1:13" ht="14.45" hidden="1" x14ac:dyDescent="0.3">
      <c r="F36" s="3"/>
      <c r="M36" s="3"/>
    </row>
    <row r="37" spans="1:13" ht="14.45" hidden="1" x14ac:dyDescent="0.3">
      <c r="B37" s="3"/>
      <c r="D37" s="1"/>
      <c r="E37" s="1"/>
      <c r="I37" s="3"/>
      <c r="K37" s="1"/>
      <c r="L37" s="1"/>
    </row>
    <row r="38" spans="1:13" ht="14.45" hidden="1" x14ac:dyDescent="0.3"/>
    <row r="39" spans="1:13" ht="14.45" hidden="1" x14ac:dyDescent="0.3">
      <c r="F39" s="3"/>
      <c r="M39" s="3"/>
    </row>
    <row r="40" spans="1:13" ht="14.45" hidden="1" x14ac:dyDescent="0.3">
      <c r="B40" s="3"/>
      <c r="D40" s="1"/>
      <c r="E40" s="1"/>
      <c r="I40" s="3"/>
      <c r="K40" s="1"/>
      <c r="L40" s="1"/>
    </row>
    <row r="41" spans="1:13" ht="14.45" hidden="1" x14ac:dyDescent="0.3">
      <c r="A41" t="s">
        <v>79</v>
      </c>
      <c r="B41" s="70">
        <f>IF(H4=1,0.865,IF(H4=2,1,IF(H4=3,1.06,0)))</f>
        <v>1</v>
      </c>
    </row>
    <row r="42" spans="1:13" ht="14.45" hidden="1" x14ac:dyDescent="0.3">
      <c r="F42" s="3"/>
      <c r="M42" s="3"/>
    </row>
    <row r="43" spans="1:13" ht="14.45" hidden="1" x14ac:dyDescent="0.3">
      <c r="B43" s="3"/>
      <c r="D43" s="1"/>
      <c r="E43" s="1"/>
      <c r="I43" s="3"/>
      <c r="K43" s="1"/>
      <c r="L43" s="1"/>
    </row>
    <row r="44" spans="1:13" ht="14.45" hidden="1" x14ac:dyDescent="0.3"/>
    <row r="45" spans="1:13" ht="15.6" hidden="1" x14ac:dyDescent="0.35">
      <c r="A45" s="2" t="s">
        <v>30</v>
      </c>
      <c r="B45">
        <v>0.28000000000000003</v>
      </c>
      <c r="H45" s="2"/>
    </row>
    <row r="46" spans="1:13" ht="14.45" hidden="1" x14ac:dyDescent="0.3"/>
    <row r="47" spans="1:13" ht="14.45" hidden="1" x14ac:dyDescent="0.3">
      <c r="A47" s="2" t="s">
        <v>32</v>
      </c>
      <c r="B47">
        <v>8.52</v>
      </c>
      <c r="H47" s="2"/>
    </row>
    <row r="48" spans="1:13" ht="14.45" hidden="1" x14ac:dyDescent="0.3"/>
    <row r="49" spans="1:10" ht="14.45" hidden="1" x14ac:dyDescent="0.3">
      <c r="A49" t="s">
        <v>47</v>
      </c>
      <c r="D49">
        <v>1</v>
      </c>
    </row>
    <row r="50" spans="1:10" ht="14.45" hidden="1" x14ac:dyDescent="0.3"/>
    <row r="51" spans="1:10" ht="14.45" hidden="1" x14ac:dyDescent="0.3">
      <c r="H51" s="22" t="s">
        <v>33</v>
      </c>
    </row>
    <row r="52" spans="1:10" ht="14.45" hidden="1" x14ac:dyDescent="0.3"/>
    <row r="53" spans="1:10" ht="14.45" hidden="1" x14ac:dyDescent="0.3">
      <c r="H53" s="29" t="s">
        <v>39</v>
      </c>
      <c r="I53" s="28"/>
      <c r="J53" s="29" t="s">
        <v>31</v>
      </c>
    </row>
    <row r="54" spans="1:10" ht="14.45" hidden="1" x14ac:dyDescent="0.3"/>
    <row r="55" spans="1:10" ht="14.45" hidden="1" x14ac:dyDescent="0.3">
      <c r="H55" s="29" t="s">
        <v>40</v>
      </c>
      <c r="J55" s="29" t="s">
        <v>34</v>
      </c>
    </row>
    <row r="56" spans="1:10" ht="14.45" hidden="1" x14ac:dyDescent="0.3"/>
    <row r="57" spans="1:10" ht="14.45" hidden="1" x14ac:dyDescent="0.3">
      <c r="H57" s="29" t="s">
        <v>41</v>
      </c>
      <c r="J57" s="29" t="s">
        <v>35</v>
      </c>
    </row>
    <row r="58" spans="1:10" ht="14.45" hidden="1" x14ac:dyDescent="0.3"/>
    <row r="59" spans="1:10" ht="14.45" hidden="1" x14ac:dyDescent="0.3">
      <c r="H59" s="29" t="s">
        <v>42</v>
      </c>
      <c r="J59" s="29" t="s">
        <v>36</v>
      </c>
    </row>
    <row r="60" spans="1:10" ht="14.45" hidden="1" x14ac:dyDescent="0.3"/>
    <row r="61" spans="1:10" ht="14.45" hidden="1" x14ac:dyDescent="0.3">
      <c r="H61" s="29" t="s">
        <v>43</v>
      </c>
      <c r="J61" s="29" t="s">
        <v>37</v>
      </c>
    </row>
    <row r="62" spans="1:10" ht="14.45" hidden="1" x14ac:dyDescent="0.3"/>
    <row r="63" spans="1:10" ht="14.45" hidden="1" x14ac:dyDescent="0.3">
      <c r="H63" s="29" t="s">
        <v>44</v>
      </c>
      <c r="J63" s="29" t="s">
        <v>38</v>
      </c>
    </row>
    <row r="64" spans="1:10" ht="14.45" hidden="1" x14ac:dyDescent="0.3">
      <c r="H64" s="29"/>
      <c r="J64" s="29"/>
    </row>
    <row r="65" spans="2:12" ht="14.45" hidden="1" x14ac:dyDescent="0.3">
      <c r="H65" s="29"/>
      <c r="J65" s="29"/>
    </row>
    <row r="66" spans="2:12" ht="14.45" hidden="1" x14ac:dyDescent="0.3">
      <c r="B66" t="s">
        <v>49</v>
      </c>
      <c r="G66" s="4"/>
      <c r="H66" s="4"/>
      <c r="I66" s="61"/>
      <c r="J66" s="4"/>
      <c r="K66" s="4"/>
      <c r="L66" s="4"/>
    </row>
    <row r="67" spans="2:12" ht="18" hidden="1" x14ac:dyDescent="0.35">
      <c r="B67" s="27" t="s">
        <v>64</v>
      </c>
      <c r="C67" s="8"/>
      <c r="D67" s="8"/>
      <c r="E67" s="8"/>
      <c r="F67" s="8"/>
      <c r="G67" s="53"/>
      <c r="H67" s="12"/>
      <c r="I67" s="12"/>
      <c r="J67" s="12"/>
      <c r="K67" s="12"/>
      <c r="L67" s="12"/>
    </row>
    <row r="68" spans="2:12" ht="18" hidden="1" x14ac:dyDescent="0.35">
      <c r="B68" s="9" t="s">
        <v>1</v>
      </c>
      <c r="C68" s="60" t="s">
        <v>4</v>
      </c>
      <c r="D68" s="57"/>
      <c r="E68" s="4"/>
      <c r="F68" s="39"/>
      <c r="G68" s="39"/>
      <c r="H68" s="12"/>
      <c r="I68" s="39"/>
      <c r="J68" s="4"/>
      <c r="K68" s="12"/>
      <c r="L68" s="12"/>
    </row>
    <row r="69" spans="2:12" ht="18" hidden="1" x14ac:dyDescent="0.35">
      <c r="B69" s="24" t="s">
        <v>2</v>
      </c>
      <c r="C69" s="16">
        <v>240</v>
      </c>
      <c r="D69" s="24"/>
      <c r="E69" s="39"/>
      <c r="F69" s="39"/>
      <c r="G69" s="39"/>
      <c r="H69" s="39"/>
      <c r="I69" s="39"/>
      <c r="J69" s="39"/>
      <c r="K69" s="39"/>
      <c r="L69" s="39"/>
    </row>
    <row r="70" spans="2:12" ht="18" hidden="1" x14ac:dyDescent="0.35">
      <c r="B70" s="13">
        <v>600</v>
      </c>
      <c r="C70" s="31">
        <f>ABS((C13/($D$3-$D$4)/1.163)*4/(3.143*$B$47^2)/3.6)*($B$47/1000)/(0.000001*(-0.000001568*(ABS($D$3+$D$4)/2)^3+0.0003846*(ABS($D$3+$D$4)/2)^2-0.03584*(ABS($D$3+$D$4)/2)+1.577))+0.1663</f>
        <v>7438.0370354880852</v>
      </c>
      <c r="D70" s="33"/>
      <c r="E70" s="34"/>
      <c r="F70" s="34"/>
      <c r="G70" s="12"/>
      <c r="H70" s="34"/>
      <c r="I70" s="34"/>
      <c r="J70" s="34"/>
      <c r="K70" s="34"/>
      <c r="L70" s="34"/>
    </row>
    <row r="71" spans="2:12" ht="18" hidden="1" x14ac:dyDescent="0.35">
      <c r="B71" s="21">
        <v>1000</v>
      </c>
      <c r="C71" s="34">
        <f>ABS((C14/($D$3-$D$4)/1.163)*4/(3.143*$B$47^2)/3.6)*($B$47/1000)/(0.000001*(-0.000001568*(ABS($D$3+$D$4)/2)^3+0.0003846*(ABS($D$3+$D$4)/2)^2-0.03584*(ABS($D$3+$D$4)/2)+1.577))+0.1663</f>
        <v>15641.191580754714</v>
      </c>
      <c r="D71" s="33"/>
      <c r="E71" s="34"/>
      <c r="F71" s="34"/>
      <c r="G71" s="12"/>
      <c r="H71" s="34"/>
      <c r="I71" s="34"/>
      <c r="J71" s="34"/>
      <c r="K71" s="34"/>
      <c r="L71" s="34"/>
    </row>
    <row r="72" spans="2:12" ht="18" hidden="1" x14ac:dyDescent="0.35">
      <c r="B72" s="13">
        <v>1400</v>
      </c>
      <c r="C72" s="32">
        <f>ABS((C15/($D$3-$D$4)/1.163)*4/(3.143*$B$47^2)/3.6)*($B$47/1000)/(0.000001*(-0.000001568*(ABS($D$3+$D$4)/2)^3+0.0003846*(ABS($D$3+$D$4)/2)^2-0.03584*(ABS($D$3+$D$4)/2)+1.577))+0.1663</f>
        <v>23491.799651853704</v>
      </c>
      <c r="D72" s="33"/>
      <c r="E72" s="34"/>
      <c r="F72" s="34"/>
      <c r="G72" s="12"/>
      <c r="H72" s="34"/>
      <c r="I72" s="34"/>
      <c r="J72" s="34"/>
      <c r="K72" s="34"/>
      <c r="L72" s="34"/>
    </row>
    <row r="73" spans="2:12" ht="18" hidden="1" x14ac:dyDescent="0.35">
      <c r="B73" s="19">
        <v>1800</v>
      </c>
      <c r="C73" s="38">
        <f>ABS((C16/($D$3-$D$4)/1.163)*4/(3.143*$B$47^2)/3.6)*($B$47/1000)/(0.000001*(-0.000001568*(ABS($D$3+$D$4)/2)^3+0.0003846*(ABS($D$3+$D$4)/2)^2-0.03584*(ABS($D$3+$D$4)/2)+1.577))+0.1663</f>
        <v>31136.039055147234</v>
      </c>
      <c r="D73" s="33"/>
      <c r="E73" s="34"/>
      <c r="F73" s="34"/>
      <c r="G73" s="12"/>
      <c r="H73" s="34"/>
      <c r="I73" s="34"/>
      <c r="J73" s="34"/>
      <c r="K73" s="34"/>
      <c r="L73" s="34"/>
    </row>
    <row r="74" spans="2:12" ht="18" hidden="1" x14ac:dyDescent="0.35">
      <c r="B74" s="14"/>
      <c r="C74" s="31"/>
      <c r="D74" s="34"/>
      <c r="E74" s="34"/>
      <c r="F74" s="34"/>
      <c r="G74" s="12"/>
      <c r="H74" s="34"/>
      <c r="I74" s="34"/>
      <c r="J74" s="34"/>
      <c r="K74" s="34"/>
      <c r="L74" s="34"/>
    </row>
    <row r="75" spans="2:12" ht="18" hidden="1" x14ac:dyDescent="0.35">
      <c r="B75" s="12"/>
      <c r="C75" s="34"/>
      <c r="D75" s="34"/>
      <c r="E75" s="34"/>
      <c r="F75" s="34"/>
      <c r="G75" s="12"/>
      <c r="H75" s="34"/>
      <c r="I75" s="34"/>
      <c r="J75" s="34"/>
      <c r="K75" s="34"/>
      <c r="L75" s="34"/>
    </row>
    <row r="76" spans="2:12" ht="18" hidden="1" x14ac:dyDescent="0.35">
      <c r="B76" s="12"/>
      <c r="C76" s="34"/>
      <c r="D76" s="34"/>
      <c r="E76" s="34"/>
      <c r="F76" s="34"/>
      <c r="G76" s="12"/>
      <c r="H76" s="34"/>
      <c r="I76" s="34"/>
      <c r="J76" s="34"/>
      <c r="K76" s="34"/>
      <c r="L76" s="34"/>
    </row>
    <row r="77" spans="2:12" ht="18" hidden="1" x14ac:dyDescent="0.35">
      <c r="B77" s="12"/>
      <c r="C77" s="34"/>
      <c r="D77" s="34"/>
      <c r="E77" s="34"/>
      <c r="F77" s="34"/>
      <c r="G77" s="12"/>
      <c r="H77" s="34"/>
      <c r="I77" s="34"/>
      <c r="J77" s="34"/>
      <c r="K77" s="34"/>
      <c r="L77" s="34"/>
    </row>
    <row r="78" spans="2:12" ht="18" hidden="1" x14ac:dyDescent="0.35">
      <c r="B78" s="12"/>
      <c r="C78" s="34"/>
      <c r="D78" s="34"/>
      <c r="E78" s="34"/>
      <c r="F78" s="34"/>
      <c r="G78" s="12"/>
      <c r="H78" s="34"/>
      <c r="I78" s="34"/>
      <c r="J78" s="34"/>
      <c r="K78" s="34"/>
      <c r="L78" s="34"/>
    </row>
    <row r="79" spans="2:12" ht="18" hidden="1" x14ac:dyDescent="0.35">
      <c r="B79" s="12"/>
      <c r="C79" s="34"/>
      <c r="D79" s="34"/>
      <c r="E79" s="34"/>
      <c r="F79" s="34"/>
      <c r="G79" s="12"/>
      <c r="H79" s="34"/>
      <c r="I79" s="34"/>
      <c r="J79" s="34"/>
      <c r="K79" s="34"/>
      <c r="L79" s="34"/>
    </row>
    <row r="80" spans="2:12" ht="18" hidden="1" x14ac:dyDescent="0.35">
      <c r="B80" s="12"/>
      <c r="C80" s="34"/>
      <c r="D80" s="34"/>
      <c r="E80" s="34"/>
      <c r="F80" s="34"/>
      <c r="G80" s="12"/>
      <c r="H80" s="34"/>
      <c r="I80" s="34"/>
      <c r="J80" s="34"/>
      <c r="K80" s="34"/>
      <c r="L80" s="34"/>
    </row>
    <row r="81" spans="2:13" ht="18" hidden="1" x14ac:dyDescent="0.35">
      <c r="B81" s="12"/>
      <c r="C81" s="34"/>
      <c r="D81" s="34"/>
      <c r="E81" s="34"/>
      <c r="F81" s="34"/>
      <c r="G81" s="12"/>
      <c r="H81" s="34"/>
      <c r="I81" s="34"/>
      <c r="J81" s="34"/>
      <c r="K81" s="34"/>
      <c r="L81" s="34"/>
    </row>
    <row r="82" spans="2:13" ht="18" hidden="1" x14ac:dyDescent="0.35">
      <c r="B82" s="12"/>
      <c r="C82" s="34"/>
      <c r="D82" s="34"/>
      <c r="E82" s="34"/>
      <c r="F82" s="34"/>
      <c r="G82" s="12"/>
      <c r="H82" s="34"/>
      <c r="I82" s="34"/>
      <c r="J82" s="34"/>
      <c r="K82" s="34"/>
      <c r="L82" s="34"/>
    </row>
    <row r="83" spans="2:13" ht="18" hidden="1" x14ac:dyDescent="0.35">
      <c r="B83" s="12"/>
      <c r="C83" s="34"/>
      <c r="D83" s="34"/>
      <c r="E83" s="34"/>
      <c r="F83" s="34"/>
      <c r="G83" s="12"/>
      <c r="H83" s="34"/>
      <c r="I83" s="34"/>
      <c r="J83" s="34"/>
      <c r="K83" s="34"/>
      <c r="L83" s="34"/>
    </row>
    <row r="84" spans="2:13" ht="18" hidden="1" x14ac:dyDescent="0.35">
      <c r="B84" s="12"/>
      <c r="C84" s="34"/>
      <c r="D84" s="34"/>
      <c r="E84" s="34"/>
      <c r="F84" s="34"/>
      <c r="G84" s="12"/>
      <c r="H84" s="34"/>
      <c r="I84" s="34"/>
      <c r="J84" s="34"/>
      <c r="K84" s="34"/>
      <c r="L84" s="34"/>
    </row>
    <row r="85" spans="2:13" ht="18" x14ac:dyDescent="0.35">
      <c r="B85" s="12"/>
      <c r="C85" s="34"/>
      <c r="D85" s="34"/>
      <c r="E85" s="34"/>
      <c r="F85" s="34"/>
      <c r="G85" s="12"/>
      <c r="H85" s="34"/>
      <c r="I85" s="34"/>
      <c r="J85" s="34"/>
      <c r="K85" s="34"/>
      <c r="L85" s="34"/>
    </row>
    <row r="86" spans="2:13" ht="18" x14ac:dyDescent="0.35">
      <c r="F86" s="96" t="s">
        <v>77</v>
      </c>
      <c r="G86" s="98" t="s">
        <v>80</v>
      </c>
      <c r="H86" s="29"/>
      <c r="J86" s="29"/>
    </row>
    <row r="87" spans="2:13" ht="14.45" x14ac:dyDescent="0.3">
      <c r="H87" s="29"/>
      <c r="J87" s="29"/>
    </row>
    <row r="89" spans="2:13" ht="14.45" x14ac:dyDescent="0.3">
      <c r="G89" s="4"/>
      <c r="H89" s="4"/>
      <c r="I89" s="4"/>
      <c r="J89" s="4"/>
    </row>
    <row r="90" spans="2:13" ht="18" x14ac:dyDescent="0.35">
      <c r="B90" s="27" t="s">
        <v>64</v>
      </c>
      <c r="C90" s="8"/>
      <c r="D90" s="8"/>
      <c r="E90" s="12"/>
      <c r="F90" s="8"/>
      <c r="G90" s="53"/>
      <c r="H90" s="12"/>
      <c r="I90" s="12"/>
      <c r="J90" s="12"/>
      <c r="L90" s="8"/>
      <c r="M90" s="8"/>
    </row>
    <row r="91" spans="2:13" ht="18" x14ac:dyDescent="0.35">
      <c r="B91" s="25" t="s">
        <v>1</v>
      </c>
      <c r="C91" s="59" t="s">
        <v>4</v>
      </c>
      <c r="D91" s="57"/>
      <c r="E91" s="4"/>
      <c r="F91" s="39"/>
      <c r="G91" s="39"/>
      <c r="H91" s="12"/>
      <c r="I91" s="39"/>
      <c r="J91" s="4"/>
      <c r="L91" s="12"/>
      <c r="M91" s="12"/>
    </row>
    <row r="92" spans="2:13" ht="18" x14ac:dyDescent="0.35">
      <c r="B92" s="24" t="s">
        <v>2</v>
      </c>
      <c r="C92" s="16">
        <v>240</v>
      </c>
      <c r="D92" s="24"/>
      <c r="E92" s="39"/>
      <c r="F92" s="39"/>
      <c r="G92" s="39"/>
      <c r="H92" s="39"/>
      <c r="I92" s="39"/>
      <c r="J92" s="39"/>
      <c r="L92" s="39"/>
      <c r="M92" s="39"/>
    </row>
    <row r="93" spans="2:13" ht="18" x14ac:dyDescent="0.35">
      <c r="B93" s="13">
        <v>600</v>
      </c>
      <c r="C93" s="62">
        <f>IF(C70&lt;500,"FAIL",C13*(0.0952*LN(C70)+0.1663))</f>
        <v>877.92718182992962</v>
      </c>
      <c r="D93" s="33"/>
      <c r="E93" s="34"/>
      <c r="F93" s="34"/>
      <c r="G93" s="12"/>
      <c r="H93" s="34"/>
      <c r="I93" s="34"/>
      <c r="J93" s="34"/>
      <c r="L93" s="34"/>
      <c r="M93" s="34"/>
    </row>
    <row r="94" spans="2:13" ht="18" x14ac:dyDescent="0.35">
      <c r="B94" s="21">
        <v>1000</v>
      </c>
      <c r="C94" s="63">
        <f t="shared" ref="C94:C96" si="0">IF(C71&lt;500,"FAIL",C14*(0.0952*LN(C71)+0.1663))</f>
        <v>1974.9006507808947</v>
      </c>
      <c r="D94" s="33"/>
      <c r="E94" s="34"/>
      <c r="F94" s="34"/>
      <c r="G94" s="12"/>
      <c r="H94" s="34"/>
      <c r="I94" s="34"/>
      <c r="J94" s="34"/>
      <c r="L94" s="34"/>
      <c r="M94" s="34"/>
    </row>
    <row r="95" spans="2:13" ht="18" x14ac:dyDescent="0.35">
      <c r="B95" s="13">
        <v>1400</v>
      </c>
      <c r="C95" s="62">
        <f t="shared" si="0"/>
        <v>3071.9391320899276</v>
      </c>
      <c r="D95" s="33"/>
      <c r="E95" s="34"/>
      <c r="F95" s="34"/>
      <c r="G95" s="12"/>
      <c r="H95" s="34"/>
      <c r="I95" s="34"/>
      <c r="J95" s="34"/>
      <c r="L95" s="34"/>
      <c r="M95" s="34"/>
    </row>
    <row r="96" spans="2:13" ht="18" x14ac:dyDescent="0.35">
      <c r="B96" s="19">
        <v>1800</v>
      </c>
      <c r="C96" s="63">
        <f t="shared" si="0"/>
        <v>4168.6683905528944</v>
      </c>
      <c r="D96" s="33"/>
      <c r="E96" s="34"/>
      <c r="F96" s="34"/>
      <c r="G96" s="12"/>
      <c r="H96" s="34"/>
      <c r="I96" s="34"/>
      <c r="J96" s="34"/>
      <c r="L96" s="34"/>
      <c r="M96" s="34"/>
    </row>
    <row r="97" spans="2:13" ht="18" x14ac:dyDescent="0.35">
      <c r="B97" s="14"/>
      <c r="C97" s="31"/>
      <c r="D97" s="34"/>
      <c r="E97" s="34"/>
      <c r="F97" s="34"/>
      <c r="G97" s="12"/>
      <c r="H97" s="34"/>
      <c r="I97" s="34"/>
      <c r="J97" s="34"/>
      <c r="L97" s="34"/>
      <c r="M97" s="34"/>
    </row>
    <row r="98" spans="2:13" ht="18" x14ac:dyDescent="0.35">
      <c r="B98" s="12"/>
      <c r="C98" s="34"/>
      <c r="D98" s="34"/>
      <c r="E98" s="34"/>
      <c r="F98" s="34"/>
      <c r="G98" s="12"/>
      <c r="H98" s="34"/>
      <c r="I98" s="34"/>
      <c r="J98" s="34"/>
      <c r="L98" s="34"/>
      <c r="M98" s="34"/>
    </row>
    <row r="99" spans="2:13" ht="18.75" x14ac:dyDescent="0.3">
      <c r="B99" s="12"/>
      <c r="C99" s="34"/>
      <c r="D99" s="34"/>
      <c r="E99" s="34"/>
      <c r="F99" s="34"/>
      <c r="G99" s="12"/>
      <c r="H99" s="34"/>
      <c r="I99" s="34"/>
      <c r="J99" s="34"/>
      <c r="L99" s="34"/>
      <c r="M99" s="34"/>
    </row>
    <row r="100" spans="2:13" ht="18.75" x14ac:dyDescent="0.3">
      <c r="B100" s="12"/>
      <c r="C100" s="34"/>
      <c r="D100" s="34"/>
      <c r="E100" s="34"/>
      <c r="F100" s="34"/>
      <c r="G100" s="12"/>
      <c r="H100" s="34"/>
      <c r="I100" s="34"/>
      <c r="J100" s="34"/>
      <c r="L100" s="34"/>
      <c r="M100" s="34"/>
    </row>
    <row r="101" spans="2:13" ht="18.75" x14ac:dyDescent="0.3">
      <c r="B101" s="12"/>
      <c r="C101" s="34"/>
      <c r="D101" s="34"/>
      <c r="E101" s="34"/>
      <c r="F101" s="34"/>
      <c r="G101" s="12"/>
      <c r="H101" s="34"/>
      <c r="I101" s="34"/>
      <c r="J101" s="34"/>
      <c r="L101" s="34"/>
      <c r="M101" s="34"/>
    </row>
  </sheetData>
  <sheetProtection password="CDBE" sheet="1" objects="1" scenarios="1"/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CorelPhotoPaint.Image.11" shapeId="4097" r:id="rId4">
          <objectPr defaultSize="0" autoPict="0" r:id="rId5">
            <anchor moveWithCells="1">
              <from>
                <xdr:col>10</xdr:col>
                <xdr:colOff>133350</xdr:colOff>
                <xdr:row>1</xdr:row>
                <xdr:rowOff>114300</xdr:rowOff>
              </from>
              <to>
                <xdr:col>13</xdr:col>
                <xdr:colOff>514350</xdr:colOff>
                <xdr:row>4</xdr:row>
                <xdr:rowOff>76200</xdr:rowOff>
              </to>
            </anchor>
          </objectPr>
        </oleObject>
      </mc:Choice>
      <mc:Fallback>
        <oleObject progId="CorelPhotoPaint.Image.11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tabSelected="1" workbookViewId="0">
      <selection activeCell="D3" sqref="D3"/>
    </sheetView>
  </sheetViews>
  <sheetFormatPr defaultRowHeight="15" x14ac:dyDescent="0.25"/>
  <cols>
    <col min="2" max="2" width="13.42578125" customWidth="1"/>
    <col min="3" max="3" width="13.140625" customWidth="1"/>
  </cols>
  <sheetData>
    <row r="1" spans="1:13" ht="21" x14ac:dyDescent="0.4">
      <c r="A1" s="23" t="s">
        <v>65</v>
      </c>
      <c r="L1" s="2" t="s">
        <v>82</v>
      </c>
    </row>
    <row r="2" spans="1:13" ht="14.45" x14ac:dyDescent="0.3">
      <c r="A2" s="3" t="s">
        <v>45</v>
      </c>
    </row>
    <row r="3" spans="1:13" ht="21" x14ac:dyDescent="0.45">
      <c r="C3" s="5" t="s">
        <v>8</v>
      </c>
      <c r="D3" s="72">
        <v>75</v>
      </c>
      <c r="E3" s="8" t="s">
        <v>69</v>
      </c>
      <c r="I3" s="68">
        <v>1</v>
      </c>
      <c r="J3" s="8" t="s">
        <v>67</v>
      </c>
    </row>
    <row r="4" spans="1:13" ht="21.75" x14ac:dyDescent="0.35">
      <c r="C4" s="5" t="s">
        <v>9</v>
      </c>
      <c r="D4" s="72">
        <v>65</v>
      </c>
      <c r="E4" s="8" t="s">
        <v>69</v>
      </c>
      <c r="G4" s="5" t="s">
        <v>70</v>
      </c>
      <c r="H4" s="74">
        <v>2</v>
      </c>
      <c r="I4" s="68">
        <v>2</v>
      </c>
      <c r="J4" s="8" t="s">
        <v>86</v>
      </c>
      <c r="K4" s="99"/>
    </row>
    <row r="5" spans="1:13" ht="21.75" x14ac:dyDescent="0.35">
      <c r="C5" s="5" t="s">
        <v>10</v>
      </c>
      <c r="D5" s="72">
        <v>20</v>
      </c>
      <c r="E5" s="8" t="s">
        <v>69</v>
      </c>
      <c r="F5" s="102" t="s">
        <v>84</v>
      </c>
      <c r="G5" s="102"/>
      <c r="H5" s="102"/>
      <c r="I5" s="68">
        <v>3</v>
      </c>
      <c r="J5" s="8" t="s">
        <v>68</v>
      </c>
    </row>
    <row r="6" spans="1:13" ht="18.75" x14ac:dyDescent="0.3">
      <c r="C6" s="5"/>
      <c r="D6" s="104"/>
      <c r="E6" s="8"/>
      <c r="F6" s="105" t="s">
        <v>85</v>
      </c>
      <c r="G6" s="103"/>
      <c r="H6" s="103"/>
      <c r="I6" s="68"/>
      <c r="J6" s="8"/>
    </row>
    <row r="8" spans="1:13" ht="20.25" x14ac:dyDescent="0.35">
      <c r="C8" s="6" t="s">
        <v>11</v>
      </c>
      <c r="D8" s="69">
        <f>(D3-D4)/LN((D3-D5)/(D4-D5))</f>
        <v>49.83288654563971</v>
      </c>
      <c r="E8" s="8" t="s">
        <v>0</v>
      </c>
      <c r="F8" s="8" t="s">
        <v>83</v>
      </c>
      <c r="H8" s="7"/>
      <c r="I8" s="8"/>
    </row>
    <row r="9" spans="1:13" ht="14.45" hidden="1" x14ac:dyDescent="0.3">
      <c r="B9" t="s">
        <v>46</v>
      </c>
      <c r="G9" s="4"/>
      <c r="H9" s="4"/>
      <c r="I9" s="4"/>
      <c r="J9" s="4"/>
    </row>
    <row r="10" spans="1:13" ht="18" hidden="1" x14ac:dyDescent="0.35">
      <c r="B10" s="27" t="s">
        <v>66</v>
      </c>
      <c r="C10" s="8"/>
      <c r="D10" s="8"/>
      <c r="E10" s="8"/>
      <c r="F10" s="8"/>
      <c r="G10" s="53"/>
      <c r="H10" s="12"/>
      <c r="I10" s="12"/>
      <c r="J10" s="12"/>
      <c r="L10" s="8"/>
      <c r="M10" s="8"/>
    </row>
    <row r="11" spans="1:13" ht="18" hidden="1" x14ac:dyDescent="0.35">
      <c r="B11" s="9" t="s">
        <v>1</v>
      </c>
      <c r="C11" s="60" t="s">
        <v>4</v>
      </c>
      <c r="D11" s="57"/>
      <c r="E11" s="4"/>
      <c r="F11" s="39"/>
      <c r="G11" s="39"/>
      <c r="H11" s="12"/>
      <c r="I11" s="39"/>
      <c r="J11" s="4"/>
      <c r="L11" s="12"/>
      <c r="M11" s="12"/>
    </row>
    <row r="12" spans="1:13" ht="18" hidden="1" x14ac:dyDescent="0.35">
      <c r="B12" s="24" t="s">
        <v>2</v>
      </c>
      <c r="C12" s="16">
        <v>240</v>
      </c>
      <c r="D12" s="24"/>
      <c r="E12" s="39"/>
      <c r="F12" s="39"/>
      <c r="G12" s="39"/>
      <c r="H12" s="39"/>
      <c r="I12" s="39"/>
      <c r="J12" s="39"/>
      <c r="L12" s="39"/>
      <c r="M12" s="39"/>
    </row>
    <row r="13" spans="1:13" ht="18" hidden="1" x14ac:dyDescent="0.35">
      <c r="B13" s="13">
        <v>1250</v>
      </c>
      <c r="C13" s="100">
        <f>1652* $B$41*ABS($D$8/49.833)^$F$30</f>
        <v>1651.9958142788937</v>
      </c>
      <c r="D13" s="44"/>
      <c r="E13" s="45"/>
      <c r="F13" s="45"/>
      <c r="G13" s="12"/>
      <c r="H13" s="45"/>
      <c r="I13" s="45"/>
      <c r="J13" s="45"/>
      <c r="L13" s="45"/>
      <c r="M13" s="45"/>
    </row>
    <row r="14" spans="1:13" ht="18" hidden="1" x14ac:dyDescent="0.35">
      <c r="B14" s="21">
        <v>2000</v>
      </c>
      <c r="C14" s="100">
        <f>3120* $B$41*ABS($D$8/49.833)^$F$30</f>
        <v>3119.9920947640126</v>
      </c>
      <c r="D14" s="44"/>
      <c r="E14" s="45"/>
      <c r="F14" s="45"/>
      <c r="G14" s="12"/>
      <c r="H14" s="45"/>
      <c r="I14" s="45"/>
      <c r="J14" s="45"/>
      <c r="L14" s="45"/>
      <c r="M14" s="45"/>
    </row>
    <row r="15" spans="1:13" ht="18" hidden="1" x14ac:dyDescent="0.35">
      <c r="B15" s="19">
        <v>2750</v>
      </c>
      <c r="C15" s="100">
        <f>4529* $B$41*ABS($D$8/49.833)^$F$30</f>
        <v>4528.9885247391703</v>
      </c>
      <c r="D15" s="44"/>
      <c r="E15" s="45"/>
      <c r="F15" s="45"/>
      <c r="G15" s="12"/>
      <c r="H15" s="45"/>
      <c r="I15" s="45"/>
      <c r="J15" s="45"/>
      <c r="L15" s="45"/>
      <c r="M15" s="45"/>
    </row>
    <row r="16" spans="1:13" ht="18" hidden="1" x14ac:dyDescent="0.35">
      <c r="B16" s="14"/>
      <c r="C16" s="42"/>
      <c r="D16" s="45"/>
      <c r="E16" s="45"/>
      <c r="F16" s="45"/>
      <c r="G16" s="12"/>
      <c r="H16" s="45"/>
      <c r="I16" s="45"/>
      <c r="J16" s="45"/>
      <c r="L16" s="45"/>
      <c r="M16" s="45"/>
    </row>
    <row r="17" spans="1:13" ht="18" hidden="1" x14ac:dyDescent="0.35">
      <c r="B17" s="12"/>
      <c r="C17" s="45"/>
      <c r="D17" s="45"/>
      <c r="E17" s="45"/>
      <c r="F17" s="45"/>
      <c r="G17" s="12"/>
      <c r="H17" s="45"/>
      <c r="I17" s="45"/>
      <c r="J17" s="45"/>
      <c r="L17" s="45"/>
      <c r="M17" s="45"/>
    </row>
    <row r="18" spans="1:13" ht="18" hidden="1" x14ac:dyDescent="0.35">
      <c r="B18" s="12"/>
      <c r="C18" s="45"/>
      <c r="D18" s="45"/>
      <c r="E18" s="45"/>
      <c r="F18" s="45"/>
      <c r="G18" s="12"/>
      <c r="H18" s="45"/>
      <c r="I18" s="45"/>
      <c r="J18" s="45"/>
      <c r="L18" s="45"/>
      <c r="M18" s="45"/>
    </row>
    <row r="19" spans="1:13" ht="18" hidden="1" x14ac:dyDescent="0.35">
      <c r="B19" s="12"/>
      <c r="C19" s="45"/>
      <c r="D19" s="45"/>
      <c r="E19" s="45"/>
      <c r="F19" s="45"/>
      <c r="G19" s="12"/>
      <c r="H19" s="45"/>
      <c r="I19" s="45"/>
      <c r="J19" s="45"/>
      <c r="L19" s="45"/>
      <c r="M19" s="45"/>
    </row>
    <row r="20" spans="1:13" ht="18" hidden="1" x14ac:dyDescent="0.35">
      <c r="B20" s="12"/>
      <c r="C20" s="45"/>
      <c r="D20" s="45"/>
      <c r="E20" s="45"/>
      <c r="F20" s="45"/>
      <c r="G20" s="12"/>
      <c r="H20" s="45"/>
      <c r="I20" s="45"/>
      <c r="J20" s="45"/>
      <c r="L20" s="45"/>
      <c r="M20" s="45"/>
    </row>
    <row r="21" spans="1:13" ht="18" hidden="1" x14ac:dyDescent="0.35">
      <c r="B21" s="12"/>
      <c r="C21" s="45"/>
      <c r="D21" s="45"/>
      <c r="E21" s="45"/>
      <c r="F21" s="45"/>
      <c r="G21" s="12"/>
      <c r="H21" s="45"/>
      <c r="I21" s="45"/>
      <c r="J21" s="45"/>
      <c r="L21" s="45"/>
      <c r="M21" s="45"/>
    </row>
    <row r="22" spans="1:13" ht="18" hidden="1" x14ac:dyDescent="0.35">
      <c r="B22" s="12"/>
      <c r="C22" s="45"/>
      <c r="D22" s="45"/>
      <c r="E22" s="45"/>
      <c r="F22" s="45"/>
      <c r="G22" s="12"/>
      <c r="H22" s="45"/>
      <c r="I22" s="45"/>
      <c r="J22" s="45"/>
      <c r="L22" s="45"/>
      <c r="M22" s="45"/>
    </row>
    <row r="23" spans="1:13" ht="18" hidden="1" x14ac:dyDescent="0.35">
      <c r="B23" s="12"/>
      <c r="C23" s="45"/>
      <c r="D23" s="45"/>
      <c r="E23" s="45"/>
      <c r="F23" s="45"/>
      <c r="G23" s="12"/>
      <c r="H23" s="45"/>
      <c r="I23" s="45"/>
      <c r="J23" s="45"/>
      <c r="L23" s="45"/>
      <c r="M23" s="45"/>
    </row>
    <row r="24" spans="1:13" ht="18" hidden="1" x14ac:dyDescent="0.35">
      <c r="B24" s="12"/>
      <c r="C24" s="45"/>
      <c r="D24" s="45"/>
      <c r="E24" s="45"/>
      <c r="F24" s="45"/>
      <c r="G24" s="12"/>
      <c r="H24" s="45"/>
      <c r="I24" s="45"/>
      <c r="J24" s="45"/>
      <c r="L24" s="45"/>
      <c r="M24" s="45"/>
    </row>
    <row r="25" spans="1:13" ht="18" hidden="1" x14ac:dyDescent="0.35">
      <c r="B25" s="12"/>
      <c r="C25" s="45"/>
      <c r="D25" s="45"/>
      <c r="E25" s="45"/>
      <c r="F25" s="45"/>
      <c r="G25" s="12"/>
      <c r="H25" s="45"/>
      <c r="I25" s="45"/>
      <c r="J25" s="45"/>
      <c r="L25" s="45"/>
      <c r="M25" s="45"/>
    </row>
    <row r="26" spans="1:13" ht="18" hidden="1" x14ac:dyDescent="0.35">
      <c r="B26" s="12"/>
      <c r="C26" s="45"/>
      <c r="D26" s="45"/>
      <c r="E26" s="45"/>
      <c r="F26" s="45"/>
      <c r="G26" s="12"/>
      <c r="H26" s="45"/>
      <c r="I26" s="45"/>
      <c r="J26" s="45"/>
      <c r="L26" s="45"/>
      <c r="M26" s="45"/>
    </row>
    <row r="27" spans="1:13" ht="18" hidden="1" x14ac:dyDescent="0.35">
      <c r="B27" s="12"/>
      <c r="C27" s="45"/>
      <c r="D27" s="45"/>
      <c r="E27" s="45"/>
      <c r="F27" s="45"/>
      <c r="G27" s="12"/>
      <c r="H27" s="45"/>
      <c r="I27" s="45"/>
      <c r="J27" s="45"/>
      <c r="L27" s="45"/>
      <c r="M27" s="45"/>
    </row>
    <row r="28" spans="1:13" ht="18" hidden="1" x14ac:dyDescent="0.35">
      <c r="B28" s="12"/>
      <c r="C28" s="45"/>
      <c r="D28" s="45"/>
      <c r="E28" s="45"/>
      <c r="F28" s="45"/>
      <c r="G28" s="12"/>
      <c r="H28" s="45"/>
      <c r="I28" s="45"/>
      <c r="J28" s="45"/>
      <c r="L28" s="45"/>
      <c r="M28" s="45"/>
    </row>
    <row r="29" spans="1:13" ht="14.45" hidden="1" x14ac:dyDescent="0.3"/>
    <row r="30" spans="1:13" ht="14.45" hidden="1" x14ac:dyDescent="0.3">
      <c r="A30" t="s">
        <v>66</v>
      </c>
      <c r="F30" s="3">
        <v>1.1129</v>
      </c>
      <c r="M30" s="3"/>
    </row>
    <row r="31" spans="1:13" ht="14.45" hidden="1" x14ac:dyDescent="0.3">
      <c r="B31" s="3">
        <v>30.87</v>
      </c>
      <c r="C31" t="s">
        <v>12</v>
      </c>
      <c r="D31" s="1" t="s">
        <v>13</v>
      </c>
      <c r="E31" s="1" t="s">
        <v>14</v>
      </c>
      <c r="I31" s="3"/>
      <c r="K31" s="1"/>
      <c r="L31" s="1"/>
    </row>
    <row r="32" spans="1:13" ht="14.45" hidden="1" x14ac:dyDescent="0.3"/>
    <row r="33" spans="1:13" ht="14.45" hidden="1" x14ac:dyDescent="0.3">
      <c r="F33" s="3"/>
      <c r="M33" s="3"/>
    </row>
    <row r="34" spans="1:13" ht="14.45" hidden="1" x14ac:dyDescent="0.3">
      <c r="B34" s="3"/>
      <c r="D34" s="1"/>
      <c r="E34" s="1"/>
      <c r="I34" s="3"/>
      <c r="K34" s="1"/>
      <c r="L34" s="1"/>
    </row>
    <row r="35" spans="1:13" ht="14.45" hidden="1" x14ac:dyDescent="0.3"/>
    <row r="36" spans="1:13" ht="14.45" hidden="1" x14ac:dyDescent="0.3">
      <c r="F36" s="3"/>
      <c r="M36" s="3"/>
    </row>
    <row r="37" spans="1:13" ht="14.45" hidden="1" x14ac:dyDescent="0.3">
      <c r="B37" s="3"/>
      <c r="D37" s="1"/>
      <c r="E37" s="1"/>
      <c r="I37" s="3"/>
      <c r="K37" s="1"/>
      <c r="L37" s="1"/>
    </row>
    <row r="38" spans="1:13" ht="14.45" hidden="1" x14ac:dyDescent="0.3"/>
    <row r="39" spans="1:13" ht="14.45" hidden="1" x14ac:dyDescent="0.3">
      <c r="F39" s="3"/>
      <c r="M39" s="3"/>
    </row>
    <row r="40" spans="1:13" ht="14.45" hidden="1" x14ac:dyDescent="0.3">
      <c r="B40" s="3"/>
      <c r="D40" s="1"/>
      <c r="E40" s="1"/>
      <c r="I40" s="3"/>
      <c r="K40" s="1"/>
      <c r="L40" s="1"/>
    </row>
    <row r="41" spans="1:13" ht="14.45" hidden="1" x14ac:dyDescent="0.3">
      <c r="A41" t="s">
        <v>72</v>
      </c>
      <c r="B41" s="70">
        <f>IF(H4=1,0.77,IF(H4=2,1,IF(H4=3,1.26,0)))</f>
        <v>1</v>
      </c>
    </row>
    <row r="42" spans="1:13" ht="14.45" hidden="1" x14ac:dyDescent="0.3">
      <c r="F42" s="3"/>
      <c r="M42" s="3"/>
    </row>
    <row r="43" spans="1:13" ht="14.45" hidden="1" x14ac:dyDescent="0.3">
      <c r="B43" s="3"/>
      <c r="D43" s="1"/>
      <c r="E43" s="1"/>
      <c r="I43" s="3"/>
      <c r="K43" s="1"/>
      <c r="L43" s="1"/>
    </row>
    <row r="44" spans="1:13" ht="14.45" hidden="1" x14ac:dyDescent="0.3"/>
    <row r="45" spans="1:13" ht="15.6" hidden="1" x14ac:dyDescent="0.35">
      <c r="A45" s="2" t="s">
        <v>30</v>
      </c>
      <c r="B45">
        <v>0.52</v>
      </c>
      <c r="H45" s="2"/>
    </row>
    <row r="46" spans="1:13" ht="14.45" hidden="1" x14ac:dyDescent="0.3"/>
    <row r="47" spans="1:13" ht="14.45" hidden="1" x14ac:dyDescent="0.3">
      <c r="A47" s="2" t="s">
        <v>32</v>
      </c>
      <c r="B47">
        <v>8.52</v>
      </c>
      <c r="H47" s="2"/>
    </row>
    <row r="48" spans="1:13" ht="14.45" hidden="1" x14ac:dyDescent="0.3"/>
    <row r="49" spans="1:10" ht="14.45" hidden="1" x14ac:dyDescent="0.3">
      <c r="A49" t="s">
        <v>47</v>
      </c>
      <c r="D49">
        <v>3</v>
      </c>
    </row>
    <row r="50" spans="1:10" ht="14.45" hidden="1" x14ac:dyDescent="0.3"/>
    <row r="51" spans="1:10" ht="14.45" hidden="1" x14ac:dyDescent="0.3">
      <c r="H51" s="22" t="s">
        <v>33</v>
      </c>
    </row>
    <row r="52" spans="1:10" ht="14.45" hidden="1" x14ac:dyDescent="0.3"/>
    <row r="53" spans="1:10" ht="14.45" hidden="1" x14ac:dyDescent="0.3">
      <c r="H53" s="29" t="s">
        <v>39</v>
      </c>
      <c r="I53" s="28"/>
      <c r="J53" s="29" t="s">
        <v>31</v>
      </c>
    </row>
    <row r="54" spans="1:10" ht="14.45" hidden="1" x14ac:dyDescent="0.3"/>
    <row r="55" spans="1:10" ht="14.45" hidden="1" x14ac:dyDescent="0.3">
      <c r="H55" s="29" t="s">
        <v>40</v>
      </c>
      <c r="J55" s="29" t="s">
        <v>34</v>
      </c>
    </row>
    <row r="56" spans="1:10" ht="14.45" hidden="1" x14ac:dyDescent="0.3"/>
    <row r="57" spans="1:10" ht="14.45" hidden="1" x14ac:dyDescent="0.3">
      <c r="H57" s="29" t="s">
        <v>41</v>
      </c>
      <c r="J57" s="29" t="s">
        <v>35</v>
      </c>
    </row>
    <row r="58" spans="1:10" ht="14.45" hidden="1" x14ac:dyDescent="0.3"/>
    <row r="59" spans="1:10" ht="14.45" hidden="1" x14ac:dyDescent="0.3">
      <c r="H59" s="29" t="s">
        <v>42</v>
      </c>
      <c r="J59" s="29" t="s">
        <v>36</v>
      </c>
    </row>
    <row r="60" spans="1:10" ht="14.45" hidden="1" x14ac:dyDescent="0.3"/>
    <row r="61" spans="1:10" ht="14.45" hidden="1" x14ac:dyDescent="0.3">
      <c r="H61" s="29" t="s">
        <v>43</v>
      </c>
      <c r="J61" s="29" t="s">
        <v>37</v>
      </c>
    </row>
    <row r="62" spans="1:10" ht="14.45" hidden="1" x14ac:dyDescent="0.3"/>
    <row r="63" spans="1:10" ht="14.45" hidden="1" x14ac:dyDescent="0.3">
      <c r="H63" s="29" t="s">
        <v>44</v>
      </c>
      <c r="J63" s="29" t="s">
        <v>38</v>
      </c>
    </row>
    <row r="64" spans="1:10" ht="14.45" hidden="1" x14ac:dyDescent="0.3">
      <c r="H64" s="29"/>
      <c r="J64" s="29"/>
    </row>
    <row r="65" spans="2:12" ht="14.45" hidden="1" x14ac:dyDescent="0.3">
      <c r="H65" s="29"/>
      <c r="J65" s="29"/>
    </row>
    <row r="66" spans="2:12" ht="14.45" hidden="1" x14ac:dyDescent="0.3">
      <c r="B66" t="s">
        <v>49</v>
      </c>
      <c r="G66" s="4"/>
      <c r="H66" s="4"/>
      <c r="I66" s="61"/>
      <c r="J66" s="4"/>
      <c r="K66" s="4"/>
      <c r="L66" s="4"/>
    </row>
    <row r="67" spans="2:12" ht="18" hidden="1" x14ac:dyDescent="0.35">
      <c r="B67" s="27" t="s">
        <v>66</v>
      </c>
      <c r="C67" s="8"/>
      <c r="D67" s="8"/>
      <c r="E67" s="8"/>
      <c r="F67" s="8"/>
      <c r="G67" s="53"/>
      <c r="H67" s="12"/>
      <c r="I67" s="12"/>
      <c r="J67" s="12"/>
      <c r="K67" s="12"/>
      <c r="L67" s="12"/>
    </row>
    <row r="68" spans="2:12" ht="18" hidden="1" x14ac:dyDescent="0.35">
      <c r="B68" s="9" t="s">
        <v>1</v>
      </c>
      <c r="C68" s="60" t="s">
        <v>4</v>
      </c>
      <c r="D68" s="57"/>
      <c r="E68" s="4"/>
      <c r="F68" s="39"/>
      <c r="G68" s="39"/>
      <c r="H68" s="12"/>
      <c r="I68" s="39"/>
      <c r="J68" s="4"/>
      <c r="K68" s="12"/>
      <c r="L68" s="12"/>
    </row>
    <row r="69" spans="2:12" ht="18" hidden="1" x14ac:dyDescent="0.35">
      <c r="B69" s="24" t="s">
        <v>2</v>
      </c>
      <c r="C69" s="16">
        <v>240</v>
      </c>
      <c r="D69" s="24"/>
      <c r="E69" s="39"/>
      <c r="F69" s="39"/>
      <c r="G69" s="39"/>
      <c r="H69" s="39"/>
      <c r="I69" s="39"/>
      <c r="J69" s="39"/>
      <c r="K69" s="39"/>
      <c r="L69" s="39"/>
    </row>
    <row r="70" spans="2:12" ht="18" hidden="1" x14ac:dyDescent="0.35">
      <c r="B70" s="13">
        <v>1250</v>
      </c>
      <c r="C70" s="64">
        <f>ABS((C13/($D$3-$D$4)/1.163/3)*4/(3.143*$B$47^2)/3.6)*($B$47/1000)/(0.000001*(-0.000001568*(ABS($D$3+$D$4)/2)^3+0.0003846*(ABS($D$3+$D$4)/2)^2-0.03584*(ABS($D$3+$D$4)/2)+1.577))+0.1663</f>
        <v>4735.180715209849</v>
      </c>
      <c r="D70" s="33"/>
      <c r="E70" s="34"/>
      <c r="F70" s="34"/>
      <c r="G70" s="12"/>
      <c r="H70" s="34"/>
      <c r="I70" s="34"/>
      <c r="J70" s="34"/>
      <c r="K70" s="34"/>
      <c r="L70" s="34"/>
    </row>
    <row r="71" spans="2:12" ht="18" hidden="1" x14ac:dyDescent="0.35">
      <c r="B71" s="21">
        <v>2000</v>
      </c>
      <c r="C71" s="67">
        <f>ABS((C14/($D$3-$D$4)/1.163/3)*4/(3.143*$B$47^2)/3.6)*($B$47/1000)/(0.000001*(-0.000001568*(ABS($D$3+$D$4)/2)^3+0.0003846*(ABS($D$3+$D$4)/2)^2-0.03584*(ABS($D$3+$D$4)/2)+1.577))+0.1663</f>
        <v>8942.8085369580695</v>
      </c>
      <c r="D71" s="33"/>
      <c r="E71" s="34"/>
      <c r="F71" s="34"/>
      <c r="G71" s="12"/>
      <c r="H71" s="34"/>
      <c r="I71" s="34"/>
      <c r="J71" s="34"/>
      <c r="K71" s="34"/>
      <c r="L71" s="34"/>
    </row>
    <row r="72" spans="2:12" ht="18" hidden="1" x14ac:dyDescent="0.35">
      <c r="B72" s="19">
        <v>2750</v>
      </c>
      <c r="C72" s="65">
        <f>ABS((C15/($D$3-$D$4)/1.163/3)*4/(3.143*$B$47^2)/3.6)*($B$47/1000)/(0.000001*(-0.000001568*(ABS($D$3+$D$4)/2)^3+0.0003846*(ABS($D$3+$D$4)/2)^2-0.03584*(ABS($D$3+$D$4)/2)+1.577))+0.1663</f>
        <v>12981.328701020226</v>
      </c>
      <c r="D72" s="33"/>
      <c r="E72" s="34"/>
      <c r="F72" s="34"/>
      <c r="G72" s="12"/>
      <c r="H72" s="34"/>
      <c r="I72" s="34"/>
      <c r="J72" s="34"/>
      <c r="K72" s="34"/>
      <c r="L72" s="34"/>
    </row>
    <row r="73" spans="2:12" ht="18" hidden="1" x14ac:dyDescent="0.35">
      <c r="B73" s="14"/>
      <c r="C73" s="31"/>
      <c r="D73" s="34"/>
      <c r="E73" s="34"/>
      <c r="F73" s="34"/>
      <c r="G73" s="12"/>
      <c r="H73" s="34"/>
      <c r="I73" s="34"/>
      <c r="J73" s="34"/>
      <c r="K73" s="34"/>
      <c r="L73" s="34"/>
    </row>
    <row r="74" spans="2:12" ht="18" hidden="1" x14ac:dyDescent="0.35">
      <c r="B74" s="12"/>
      <c r="C74" s="34"/>
      <c r="D74" s="34"/>
      <c r="E74" s="34"/>
      <c r="F74" s="34"/>
      <c r="G74" s="12"/>
      <c r="H74" s="34"/>
      <c r="I74" s="34"/>
      <c r="J74" s="34"/>
      <c r="K74" s="34"/>
      <c r="L74" s="34"/>
    </row>
    <row r="75" spans="2:12" ht="18" hidden="1" x14ac:dyDescent="0.35">
      <c r="B75" s="12"/>
      <c r="C75" s="34"/>
      <c r="D75" s="34"/>
      <c r="E75" s="34"/>
      <c r="F75" s="34"/>
      <c r="G75" s="12"/>
      <c r="H75" s="34"/>
      <c r="I75" s="34"/>
      <c r="J75" s="34"/>
      <c r="K75" s="34"/>
      <c r="L75" s="34"/>
    </row>
    <row r="76" spans="2:12" ht="18" hidden="1" x14ac:dyDescent="0.35">
      <c r="B76" s="12"/>
      <c r="C76" s="34"/>
      <c r="D76" s="34"/>
      <c r="E76" s="34"/>
      <c r="F76" s="34"/>
      <c r="G76" s="12"/>
      <c r="H76" s="34"/>
      <c r="I76" s="34"/>
      <c r="J76" s="34"/>
      <c r="K76" s="34"/>
      <c r="L76" s="34"/>
    </row>
    <row r="77" spans="2:12" ht="18" hidden="1" x14ac:dyDescent="0.35">
      <c r="B77" s="12"/>
      <c r="C77" s="34"/>
      <c r="D77" s="34"/>
      <c r="E77" s="34"/>
      <c r="F77" s="34"/>
      <c r="G77" s="12"/>
      <c r="H77" s="34"/>
      <c r="I77" s="34"/>
      <c r="J77" s="34"/>
      <c r="K77" s="34"/>
      <c r="L77" s="34"/>
    </row>
    <row r="78" spans="2:12" ht="18" hidden="1" x14ac:dyDescent="0.35">
      <c r="B78" s="12"/>
      <c r="C78" s="34"/>
      <c r="D78" s="34"/>
      <c r="E78" s="34"/>
      <c r="F78" s="34"/>
      <c r="G78" s="12"/>
      <c r="H78" s="34"/>
      <c r="I78" s="34"/>
      <c r="J78" s="34"/>
      <c r="K78" s="34"/>
      <c r="L78" s="34"/>
    </row>
    <row r="79" spans="2:12" ht="18" hidden="1" x14ac:dyDescent="0.35">
      <c r="B79" s="12"/>
      <c r="C79" s="34"/>
      <c r="D79" s="34"/>
      <c r="E79" s="34"/>
      <c r="F79" s="34"/>
      <c r="G79" s="12"/>
      <c r="H79" s="34"/>
      <c r="I79" s="34"/>
      <c r="J79" s="34"/>
      <c r="K79" s="34"/>
      <c r="L79" s="34"/>
    </row>
    <row r="80" spans="2:12" ht="18" hidden="1" x14ac:dyDescent="0.35">
      <c r="B80" s="12"/>
      <c r="C80" s="34"/>
      <c r="D80" s="34"/>
      <c r="E80" s="34"/>
      <c r="F80" s="34"/>
      <c r="G80" s="12"/>
      <c r="H80" s="34"/>
      <c r="I80" s="34"/>
      <c r="J80" s="34"/>
      <c r="K80" s="34"/>
      <c r="L80" s="34"/>
    </row>
    <row r="81" spans="2:13" ht="18" hidden="1" x14ac:dyDescent="0.35">
      <c r="B81" s="12"/>
      <c r="C81" s="34"/>
      <c r="D81" s="34"/>
      <c r="E81" s="34"/>
      <c r="F81" s="34"/>
      <c r="G81" s="12"/>
      <c r="H81" s="34"/>
      <c r="I81" s="34"/>
      <c r="J81" s="34"/>
      <c r="K81" s="34"/>
      <c r="L81" s="34"/>
    </row>
    <row r="82" spans="2:13" ht="18" hidden="1" x14ac:dyDescent="0.35">
      <c r="B82" s="12"/>
      <c r="C82" s="34"/>
      <c r="D82" s="34"/>
      <c r="E82" s="34"/>
      <c r="F82" s="34"/>
      <c r="G82" s="12"/>
      <c r="H82" s="34"/>
      <c r="I82" s="34"/>
      <c r="J82" s="34"/>
      <c r="K82" s="34"/>
      <c r="L82" s="34"/>
    </row>
    <row r="83" spans="2:13" ht="18" hidden="1" x14ac:dyDescent="0.35">
      <c r="B83" s="12"/>
      <c r="C83" s="34"/>
      <c r="D83" s="34"/>
      <c r="E83" s="34"/>
      <c r="F83" s="34"/>
      <c r="G83" s="12"/>
      <c r="H83" s="34"/>
      <c r="I83" s="34"/>
      <c r="J83" s="34"/>
      <c r="K83" s="34"/>
      <c r="L83" s="34"/>
    </row>
    <row r="84" spans="2:13" ht="18" hidden="1" x14ac:dyDescent="0.35">
      <c r="B84" s="12"/>
      <c r="C84" s="34"/>
      <c r="D84" s="34"/>
      <c r="E84" s="34"/>
      <c r="F84" s="34"/>
      <c r="G84" s="12"/>
      <c r="H84" s="34"/>
      <c r="I84" s="34"/>
      <c r="J84" s="34"/>
      <c r="K84" s="34"/>
      <c r="L84" s="34"/>
    </row>
    <row r="85" spans="2:13" ht="18" hidden="1" x14ac:dyDescent="0.35">
      <c r="B85" s="12"/>
      <c r="C85" s="34"/>
      <c r="D85" s="34"/>
      <c r="E85" s="34"/>
      <c r="F85" s="34"/>
      <c r="G85" s="12"/>
      <c r="H85" s="34"/>
      <c r="I85" s="34"/>
      <c r="J85" s="34"/>
      <c r="K85" s="34"/>
      <c r="L85" s="34"/>
    </row>
    <row r="86" spans="2:13" ht="14.45" hidden="1" x14ac:dyDescent="0.3">
      <c r="H86" s="29"/>
      <c r="J86" s="29"/>
    </row>
    <row r="87" spans="2:13" ht="14.45" x14ac:dyDescent="0.3">
      <c r="H87" s="29"/>
      <c r="J87" s="29"/>
    </row>
    <row r="88" spans="2:13" ht="18" x14ac:dyDescent="0.35">
      <c r="F88" s="96" t="s">
        <v>77</v>
      </c>
      <c r="G88" s="98" t="s">
        <v>80</v>
      </c>
    </row>
    <row r="91" spans="2:13" ht="14.45" x14ac:dyDescent="0.3">
      <c r="G91" s="4"/>
      <c r="H91" s="4"/>
      <c r="I91" s="4"/>
      <c r="J91" s="4"/>
    </row>
    <row r="92" spans="2:13" ht="18" x14ac:dyDescent="0.35">
      <c r="B92" s="27" t="s">
        <v>66</v>
      </c>
      <c r="C92" s="8"/>
      <c r="D92" s="8"/>
      <c r="E92" s="12"/>
      <c r="F92" s="8"/>
      <c r="G92" s="53"/>
      <c r="H92" s="12"/>
      <c r="I92" s="12"/>
      <c r="J92" s="12"/>
      <c r="L92" s="8"/>
      <c r="M92" s="8"/>
    </row>
    <row r="93" spans="2:13" ht="18" x14ac:dyDescent="0.35">
      <c r="B93" s="25" t="s">
        <v>1</v>
      </c>
      <c r="C93" s="59" t="s">
        <v>4</v>
      </c>
      <c r="D93" s="57"/>
      <c r="E93" s="4"/>
      <c r="F93" s="39"/>
      <c r="G93" s="39"/>
      <c r="H93" s="12"/>
      <c r="I93" s="39"/>
      <c r="J93" s="4"/>
      <c r="L93" s="12"/>
      <c r="M93" s="12"/>
    </row>
    <row r="94" spans="2:13" ht="18" x14ac:dyDescent="0.35">
      <c r="B94" s="26" t="s">
        <v>2</v>
      </c>
      <c r="C94" s="17">
        <v>340</v>
      </c>
      <c r="D94" s="24"/>
      <c r="E94" s="39"/>
      <c r="F94" s="39"/>
      <c r="G94" s="39"/>
      <c r="H94" s="39"/>
      <c r="I94" s="39"/>
      <c r="J94" s="39"/>
      <c r="L94" s="39"/>
      <c r="M94" s="39"/>
    </row>
    <row r="95" spans="2:13" ht="18" x14ac:dyDescent="0.35">
      <c r="B95" s="13">
        <v>1250</v>
      </c>
      <c r="C95" s="62">
        <f>IF(C70&lt;500,"FAIL",C13*(0.0952*LN(C70)+0.1663))</f>
        <v>1605.6675678720931</v>
      </c>
      <c r="D95" s="33"/>
      <c r="E95" s="34"/>
      <c r="F95" s="34"/>
      <c r="G95" s="12"/>
      <c r="H95" s="34"/>
      <c r="I95" s="34"/>
      <c r="J95" s="34"/>
      <c r="L95" s="34"/>
      <c r="M95" s="34"/>
    </row>
    <row r="96" spans="2:13" ht="18" x14ac:dyDescent="0.35">
      <c r="B96" s="21">
        <v>2000</v>
      </c>
      <c r="C96" s="66">
        <f>IF(C71&lt;500,"FAIL",C14*(0.0952*LN(C71)+0.1663))</f>
        <v>3221.3518814019722</v>
      </c>
      <c r="D96" s="33"/>
      <c r="E96" s="34"/>
      <c r="F96" s="34"/>
      <c r="G96" s="12"/>
      <c r="H96" s="34"/>
      <c r="I96" s="34"/>
      <c r="J96" s="34"/>
      <c r="L96" s="34"/>
      <c r="M96" s="34"/>
    </row>
    <row r="97" spans="2:13" ht="18" x14ac:dyDescent="0.35">
      <c r="B97" s="19">
        <v>2750</v>
      </c>
      <c r="C97" s="63">
        <f>IF(C72&lt;500,"FAIL",C15*(0.0952*LN(C72)+0.1663))</f>
        <v>4836.799652585476</v>
      </c>
      <c r="D97" s="33"/>
      <c r="E97" s="34"/>
      <c r="F97" s="34"/>
      <c r="G97" s="12"/>
      <c r="H97" s="34"/>
      <c r="I97" s="34"/>
      <c r="J97" s="34"/>
      <c r="L97" s="34"/>
      <c r="M97" s="34"/>
    </row>
    <row r="98" spans="2:13" ht="18" x14ac:dyDescent="0.35">
      <c r="B98" s="14"/>
      <c r="C98" s="31"/>
      <c r="D98" s="34"/>
      <c r="E98" s="34"/>
      <c r="F98" s="34"/>
      <c r="G98" s="12"/>
      <c r="H98" s="34"/>
      <c r="I98" s="34"/>
      <c r="J98" s="34"/>
      <c r="L98" s="34"/>
      <c r="M98" s="34"/>
    </row>
    <row r="99" spans="2:13" ht="18" x14ac:dyDescent="0.35">
      <c r="B99" s="12"/>
      <c r="C99" s="34"/>
      <c r="D99" s="34"/>
      <c r="E99" s="34"/>
      <c r="F99" s="34"/>
      <c r="G99" s="12"/>
      <c r="H99" s="34"/>
      <c r="I99" s="34"/>
      <c r="J99" s="34"/>
      <c r="L99" s="34"/>
      <c r="M99" s="34"/>
    </row>
    <row r="100" spans="2:13" ht="18" x14ac:dyDescent="0.35">
      <c r="B100" s="12"/>
      <c r="C100" s="34"/>
      <c r="D100" s="34"/>
      <c r="E100" s="34"/>
      <c r="F100" s="34"/>
      <c r="G100" s="12"/>
      <c r="H100" s="34"/>
      <c r="I100" s="34"/>
      <c r="J100" s="34"/>
      <c r="L100" s="34"/>
      <c r="M100" s="34"/>
    </row>
    <row r="101" spans="2:13" ht="18.75" x14ac:dyDescent="0.3">
      <c r="B101" s="12"/>
      <c r="C101" s="34"/>
      <c r="D101" s="34"/>
      <c r="E101" s="34"/>
      <c r="F101" s="34"/>
      <c r="G101" s="12"/>
      <c r="H101" s="34"/>
      <c r="I101" s="34"/>
      <c r="J101" s="34"/>
      <c r="L101" s="34"/>
      <c r="M101" s="34"/>
    </row>
    <row r="102" spans="2:13" ht="18.75" x14ac:dyDescent="0.3">
      <c r="B102" s="12"/>
      <c r="C102" s="34"/>
      <c r="D102" s="34"/>
      <c r="E102" s="34"/>
      <c r="F102" s="34"/>
      <c r="G102" s="12"/>
      <c r="H102" s="34"/>
      <c r="I102" s="34"/>
      <c r="J102" s="34"/>
      <c r="L102" s="34"/>
      <c r="M102" s="34"/>
    </row>
    <row r="103" spans="2:13" ht="18.75" x14ac:dyDescent="0.3">
      <c r="B103" s="12"/>
      <c r="C103" s="34"/>
      <c r="D103" s="34"/>
      <c r="E103" s="34"/>
      <c r="F103" s="34"/>
      <c r="G103" s="12"/>
      <c r="H103" s="34"/>
      <c r="I103" s="34"/>
      <c r="J103" s="34"/>
      <c r="L103" s="34"/>
      <c r="M103" s="34"/>
    </row>
  </sheetData>
  <sheetProtection password="CDBE" sheet="1" objects="1" scenarios="1"/>
  <mergeCells count="1">
    <mergeCell ref="F5:H5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CorelPhotoPaint.Image.11" shapeId="5121" r:id="rId4">
          <objectPr defaultSize="0" autoPict="0" r:id="rId5">
            <anchor moveWithCells="1">
              <from>
                <xdr:col>10</xdr:col>
                <xdr:colOff>123825</xdr:colOff>
                <xdr:row>1</xdr:row>
                <xdr:rowOff>114300</xdr:rowOff>
              </from>
              <to>
                <xdr:col>13</xdr:col>
                <xdr:colOff>495300</xdr:colOff>
                <xdr:row>4</xdr:row>
                <xdr:rowOff>66675</xdr:rowOff>
              </to>
            </anchor>
          </objectPr>
        </oleObject>
      </mc:Choice>
      <mc:Fallback>
        <oleObject progId="CorelPhotoPaint.Image.11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FMK</vt:lpstr>
      <vt:lpstr>F1T</vt:lpstr>
      <vt:lpstr>F1P</vt:lpstr>
      <vt:lpstr>F2C</vt:lpstr>
      <vt:lpstr>F4C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Iivonen</dc:creator>
  <cp:lastModifiedBy>Christian FROJD</cp:lastModifiedBy>
  <cp:lastPrinted>2017-10-02T06:31:35Z</cp:lastPrinted>
  <dcterms:created xsi:type="dcterms:W3CDTF">2017-04-06T10:12:11Z</dcterms:created>
  <dcterms:modified xsi:type="dcterms:W3CDTF">2018-04-10T10:54:36Z</dcterms:modified>
</cp:coreProperties>
</file>